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90" yWindow="375" windowWidth="15450" windowHeight="7260" tabRatio="872" activeTab="6"/>
  </bookViews>
  <sheets>
    <sheet name="Пр. 1  Источники" sheetId="1" r:id="rId1"/>
    <sheet name="Пр.2. Доходы" sheetId="2" r:id="rId2"/>
    <sheet name="Пр.3 ФП" sheetId="3" r:id="rId3"/>
    <sheet name="Пр.4 Раз.,Подразд" sheetId="4" r:id="rId4"/>
    <sheet name="Пр.5 по прогр.." sheetId="5" r:id="rId5"/>
    <sheet name="Пр.6 Р.П. ЦС. ВР" sheetId="6" r:id="rId6"/>
    <sheet name="Пр.7 Вед" sheetId="7" r:id="rId7"/>
  </sheets>
  <definedNames>
    <definedName name="_xlnm._FilterDatabase" localSheetId="5" hidden="1">'Пр.6 Р.П. ЦС. ВР'!$A$10:$E$324</definedName>
    <definedName name="_xlnm._FilterDatabase" localSheetId="6" hidden="1">'Пр.7 Вед'!$A$10:$F$325</definedName>
    <definedName name="_xlnm.Print_Titles" localSheetId="3">'Пр.4 Раз.,Подразд'!$10:$11</definedName>
  </definedNames>
  <calcPr fullCalcOnLoad="1"/>
</workbook>
</file>

<file path=xl/comments3.xml><?xml version="1.0" encoding="utf-8"?>
<comments xmlns="http://schemas.openxmlformats.org/spreadsheetml/2006/main">
  <authors>
    <author>Кравцова</author>
  </authors>
  <commentList>
    <comment ref="C53" authorId="0">
      <text>
        <r>
          <rPr>
            <b/>
            <sz val="8"/>
            <rFont val="Tahoma"/>
            <family val="2"/>
          </rPr>
          <t>Кравцова:</t>
        </r>
        <r>
          <rPr>
            <sz val="8"/>
            <rFont val="Tahoma"/>
            <family val="2"/>
          </rPr>
          <t xml:space="preserve">
508,00-спорт.площадка
220,00- ДК (депутатские)
463,,503-День ЛО
16946,64- аварийное жилье</t>
        </r>
      </text>
    </comment>
    <comment ref="F53" authorId="0">
      <text>
        <r>
          <rPr>
            <b/>
            <sz val="8"/>
            <rFont val="Tahoma"/>
            <family val="2"/>
          </rPr>
          <t>Кравцова:</t>
        </r>
        <r>
          <rPr>
            <sz val="8"/>
            <rFont val="Tahoma"/>
            <family val="2"/>
          </rPr>
          <t xml:space="preserve">
508,00-спорт.площадка
220,00- ДК (депутатские)
463,,503-День ЛО
16946,64- аварийное жилье</t>
        </r>
      </text>
    </comment>
  </commentList>
</comments>
</file>

<file path=xl/comments6.xml><?xml version="1.0" encoding="utf-8"?>
<comments xmlns="http://schemas.openxmlformats.org/spreadsheetml/2006/main">
  <authors>
    <author>Кравцова</author>
    <author>Елена Кравцова</author>
  </authors>
  <commentList>
    <comment ref="E276" authorId="0">
      <text>
        <r>
          <rPr>
            <b/>
            <sz val="8"/>
            <rFont val="Tahoma"/>
            <family val="2"/>
          </rPr>
          <t>Кравцова:</t>
        </r>
        <r>
          <rPr>
            <sz val="8"/>
            <rFont val="Tahoma"/>
            <family val="2"/>
          </rPr>
          <t xml:space="preserve">
991,5
66-шахм.клуб
50=дети в лет.период
25-ладожанка
</t>
        </r>
      </text>
    </comment>
    <comment ref="E275" authorId="0">
      <text>
        <r>
          <rPr>
            <b/>
            <sz val="8"/>
            <rFont val="Tahoma"/>
            <family val="2"/>
          </rPr>
          <t>Кравцова:</t>
        </r>
        <r>
          <rPr>
            <sz val="8"/>
            <rFont val="Tahoma"/>
            <family val="2"/>
          </rPr>
          <t xml:space="preserve">
500-админ.
50-совет ветеранов
21,5-библиотека
33,6-мемориальная плита
400,0-братское кладбище
</t>
        </r>
      </text>
    </comment>
    <comment ref="E218" authorId="0">
      <text>
        <r>
          <rPr>
            <b/>
            <sz val="8"/>
            <rFont val="Tahoma"/>
            <family val="2"/>
          </rPr>
          <t>Кравцова:</t>
        </r>
        <r>
          <rPr>
            <sz val="8"/>
            <rFont val="Tahoma"/>
            <family val="2"/>
          </rPr>
          <t xml:space="preserve">
3000,0-освещение
800-обслуживание</t>
        </r>
      </text>
    </comment>
    <comment ref="E126" authorId="1">
      <text>
        <r>
          <rPr>
            <b/>
            <sz val="9"/>
            <rFont val="Tahoma"/>
            <family val="2"/>
          </rPr>
          <t>Елена Кравцова:</t>
        </r>
        <r>
          <rPr>
            <sz val="9"/>
            <rFont val="Tahoma"/>
            <family val="2"/>
          </rPr>
          <t xml:space="preserve">
автостоянка
</t>
        </r>
      </text>
    </comment>
    <comment ref="F126" authorId="1">
      <text>
        <r>
          <rPr>
            <b/>
            <sz val="9"/>
            <rFont val="Tahoma"/>
            <family val="2"/>
          </rPr>
          <t>Елена Кравцова:</t>
        </r>
        <r>
          <rPr>
            <sz val="9"/>
            <rFont val="Tahoma"/>
            <family val="2"/>
          </rPr>
          <t xml:space="preserve">
автостоянка
</t>
        </r>
      </text>
    </comment>
    <comment ref="F218" authorId="0">
      <text>
        <r>
          <rPr>
            <b/>
            <sz val="8"/>
            <rFont val="Tahoma"/>
            <family val="2"/>
          </rPr>
          <t>Кравцова:</t>
        </r>
        <r>
          <rPr>
            <sz val="8"/>
            <rFont val="Tahoma"/>
            <family val="2"/>
          </rPr>
          <t xml:space="preserve">
3000,0-освещение
800-обслуживание</t>
        </r>
      </text>
    </comment>
    <comment ref="F275" authorId="0">
      <text>
        <r>
          <rPr>
            <b/>
            <sz val="8"/>
            <rFont val="Tahoma"/>
            <family val="2"/>
          </rPr>
          <t>Кравцова:</t>
        </r>
        <r>
          <rPr>
            <sz val="8"/>
            <rFont val="Tahoma"/>
            <family val="2"/>
          </rPr>
          <t xml:space="preserve">
500-админ.
50-совет ветеранов
21,5-библиотека
33,6-мемориальная плита
400,0-братское кладбище
</t>
        </r>
      </text>
    </comment>
    <comment ref="F276" authorId="0">
      <text>
        <r>
          <rPr>
            <b/>
            <sz val="8"/>
            <rFont val="Tahoma"/>
            <family val="2"/>
          </rPr>
          <t>Кравцова:</t>
        </r>
        <r>
          <rPr>
            <sz val="8"/>
            <rFont val="Tahoma"/>
            <family val="2"/>
          </rPr>
          <t xml:space="preserve">
991,5
66-шахм.клуб
50=дети в лет.период
25-ладожанка
</t>
        </r>
      </text>
    </comment>
  </commentList>
</comments>
</file>

<file path=xl/comments7.xml><?xml version="1.0" encoding="utf-8"?>
<comments xmlns="http://schemas.openxmlformats.org/spreadsheetml/2006/main">
  <authors>
    <author>Елена Кравцова</author>
    <author>Кравцова</author>
  </authors>
  <commentList>
    <comment ref="F127" authorId="0">
      <text>
        <r>
          <rPr>
            <b/>
            <sz val="9"/>
            <rFont val="Tahoma"/>
            <family val="2"/>
          </rPr>
          <t>Елена Кравцова:</t>
        </r>
        <r>
          <rPr>
            <sz val="9"/>
            <rFont val="Tahoma"/>
            <family val="2"/>
          </rPr>
          <t xml:space="preserve">
автостоянка
</t>
        </r>
      </text>
    </comment>
    <comment ref="G127" authorId="0">
      <text>
        <r>
          <rPr>
            <b/>
            <sz val="9"/>
            <rFont val="Tahoma"/>
            <family val="2"/>
          </rPr>
          <t>Елена Кравцова:</t>
        </r>
        <r>
          <rPr>
            <sz val="9"/>
            <rFont val="Tahoma"/>
            <family val="2"/>
          </rPr>
          <t xml:space="preserve">
автостоянка
</t>
        </r>
      </text>
    </comment>
    <comment ref="F219" authorId="1">
      <text>
        <r>
          <rPr>
            <b/>
            <sz val="8"/>
            <rFont val="Tahoma"/>
            <family val="2"/>
          </rPr>
          <t>Кравцова:</t>
        </r>
        <r>
          <rPr>
            <sz val="8"/>
            <rFont val="Tahoma"/>
            <family val="2"/>
          </rPr>
          <t xml:space="preserve">
3000,0-освещение
800-обслуживание</t>
        </r>
      </text>
    </comment>
    <comment ref="G219" authorId="1">
      <text>
        <r>
          <rPr>
            <b/>
            <sz val="8"/>
            <rFont val="Tahoma"/>
            <family val="2"/>
          </rPr>
          <t>Кравцова:</t>
        </r>
        <r>
          <rPr>
            <sz val="8"/>
            <rFont val="Tahoma"/>
            <family val="2"/>
          </rPr>
          <t xml:space="preserve">
3000,0-освещение
800-обслуживание</t>
        </r>
      </text>
    </comment>
    <comment ref="F276" authorId="1">
      <text>
        <r>
          <rPr>
            <b/>
            <sz val="8"/>
            <rFont val="Tahoma"/>
            <family val="2"/>
          </rPr>
          <t>Кравцова:</t>
        </r>
        <r>
          <rPr>
            <sz val="8"/>
            <rFont val="Tahoma"/>
            <family val="2"/>
          </rPr>
          <t xml:space="preserve">
500-админ.
50-совет ветеранов
21,5-библиотека
33,6-мемориальная плита
400,0-братское кладбище
</t>
        </r>
      </text>
    </comment>
    <comment ref="G276" authorId="1">
      <text>
        <r>
          <rPr>
            <b/>
            <sz val="8"/>
            <rFont val="Tahoma"/>
            <family val="2"/>
          </rPr>
          <t>Кравцова:</t>
        </r>
        <r>
          <rPr>
            <sz val="8"/>
            <rFont val="Tahoma"/>
            <family val="2"/>
          </rPr>
          <t xml:space="preserve">
500-админ.
50-совет ветеранов
21,5-библиотека
33,6-мемориальная плита
400,0-братское кладбище
</t>
        </r>
      </text>
    </comment>
    <comment ref="F277" authorId="1">
      <text>
        <r>
          <rPr>
            <b/>
            <sz val="8"/>
            <rFont val="Tahoma"/>
            <family val="2"/>
          </rPr>
          <t>Кравцова:</t>
        </r>
        <r>
          <rPr>
            <sz val="8"/>
            <rFont val="Tahoma"/>
            <family val="2"/>
          </rPr>
          <t xml:space="preserve">
991,5
66-шахм.клуб
50=дети в лет.период
25-ладожанка
</t>
        </r>
      </text>
    </comment>
    <comment ref="G277" authorId="1">
      <text>
        <r>
          <rPr>
            <b/>
            <sz val="8"/>
            <rFont val="Tahoma"/>
            <family val="2"/>
          </rPr>
          <t>Кравцова:</t>
        </r>
        <r>
          <rPr>
            <sz val="8"/>
            <rFont val="Tahoma"/>
            <family val="2"/>
          </rPr>
          <t xml:space="preserve">
991,5
66-шахм.клуб
50=дети в лет.период
25-ладожанка
</t>
        </r>
      </text>
    </comment>
  </commentList>
</comments>
</file>

<file path=xl/sharedStrings.xml><?xml version="1.0" encoding="utf-8"?>
<sst xmlns="http://schemas.openxmlformats.org/spreadsheetml/2006/main" count="3178" uniqueCount="573">
  <si>
    <t>68 0 0000</t>
  </si>
  <si>
    <t>04 0 0000</t>
  </si>
  <si>
    <t>05 0 0000</t>
  </si>
  <si>
    <t>06 0 0000</t>
  </si>
  <si>
    <t>07 0 0000</t>
  </si>
  <si>
    <t>08 0 0000</t>
  </si>
  <si>
    <t>05 1 0000</t>
  </si>
  <si>
    <t>05 2 0000</t>
  </si>
  <si>
    <t>05 3 0000</t>
  </si>
  <si>
    <t>05 4 0000</t>
  </si>
  <si>
    <t>04 2 0000</t>
  </si>
  <si>
    <t>06 1 0000</t>
  </si>
  <si>
    <t>06 2 0000</t>
  </si>
  <si>
    <t>06 3 0000</t>
  </si>
  <si>
    <t>07 1 0000</t>
  </si>
  <si>
    <t>08 1 0000</t>
  </si>
  <si>
    <t>Всего расходов</t>
  </si>
  <si>
    <t>0801</t>
  </si>
  <si>
    <t>Культура</t>
  </si>
  <si>
    <t>1101</t>
  </si>
  <si>
    <t>Физическая культура</t>
  </si>
  <si>
    <t>06 1 0016</t>
  </si>
  <si>
    <t>06 2 0017</t>
  </si>
  <si>
    <t>Иные межбюджетные трансферты</t>
  </si>
  <si>
    <t>0501</t>
  </si>
  <si>
    <t>Жилищное хозяйство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</si>
  <si>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</si>
  <si>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</si>
  <si>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</si>
  <si>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Расходы на выплаты по оплате труда работников органов местного самоуправления в рамках обеспечения деятельности центрального аппарата</t>
  </si>
  <si>
    <t>Расходы на обеспечение функций органов местного самоуправления в рамках обеспечения деятельности центрального аппарата</t>
  </si>
  <si>
    <t>810</t>
  </si>
  <si>
    <t>0412</t>
  </si>
  <si>
    <t>Другие вопросы в области национальной экономики</t>
  </si>
  <si>
    <t>Субсидии юридическим лицам (кроме некоммерческих организаций), индивидуальным предпринимателям, физическим лицам</t>
  </si>
  <si>
    <t>Пенсионное обеспечение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</si>
  <si>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</si>
  <si>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</si>
  <si>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</si>
  <si>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</si>
  <si>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67 3 0015</t>
  </si>
  <si>
    <t>Иные выплаты персоналу государственных (муниципальных) органов, за исключением фонда оплаты труда</t>
  </si>
  <si>
    <t>0113</t>
  </si>
  <si>
    <t>67 3 0014</t>
  </si>
  <si>
    <t>Другие 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</si>
  <si>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</si>
  <si>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</si>
  <si>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67 3 0000</t>
  </si>
  <si>
    <t>Обеспечение деятельности центрального аппарата</t>
  </si>
  <si>
    <t>67 2 0014</t>
  </si>
  <si>
    <t>67 2 0000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</si>
  <si>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</si>
  <si>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67 0 0000</t>
  </si>
  <si>
    <t>КФСР</t>
  </si>
  <si>
    <t>КВР</t>
  </si>
  <si>
    <t>КЦСР</t>
  </si>
  <si>
    <t>Наименование</t>
  </si>
  <si>
    <t>решением Совета депутатов</t>
  </si>
  <si>
    <t>УТВЕРЖДЕНО</t>
  </si>
  <si>
    <t>Иные выплаты персоналу казенных учреждений, за исключением фонда оплаты труда</t>
  </si>
  <si>
    <t>112</t>
  </si>
  <si>
    <t>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</si>
  <si>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</si>
  <si>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01 0 0000</t>
  </si>
  <si>
    <t>540</t>
  </si>
  <si>
    <t>0502</t>
  </si>
  <si>
    <t>Коммунальное хозяйство</t>
  </si>
  <si>
    <t>01 2 0000</t>
  </si>
  <si>
    <t>0309</t>
  </si>
  <si>
    <t>02 0 0000</t>
  </si>
  <si>
    <t>1003</t>
  </si>
  <si>
    <t>Социальное обеспечение населения</t>
  </si>
  <si>
    <t>1202</t>
  </si>
  <si>
    <t>Периодическая печать и издательства</t>
  </si>
  <si>
    <t>68 9 0000</t>
  </si>
  <si>
    <t>68 9 0016</t>
  </si>
  <si>
    <t>68 9 1066</t>
  </si>
  <si>
    <t>0111</t>
  </si>
  <si>
    <t>Непрограммные расходы</t>
  </si>
  <si>
    <t>1001</t>
  </si>
  <si>
    <t>122</t>
  </si>
  <si>
    <t>0500</t>
  </si>
  <si>
    <t>0100</t>
  </si>
  <si>
    <t>Общегосударственные вопросы</t>
  </si>
  <si>
    <t>Социальная политика</t>
  </si>
  <si>
    <t>1000</t>
  </si>
  <si>
    <t>Резервные фонды</t>
  </si>
  <si>
    <t>0300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</si>
  <si>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</si>
  <si>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</si>
  <si>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</si>
  <si>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</si>
  <si>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0800</t>
  </si>
  <si>
    <t>1100</t>
  </si>
  <si>
    <t>1200</t>
  </si>
  <si>
    <t>Культура, кинематография</t>
  </si>
  <si>
    <t>Физическая культура и спорт</t>
  </si>
  <si>
    <t>Средства массовой информации</t>
  </si>
  <si>
    <t>Дорожное хозяйство (дорожные фонды)</t>
  </si>
  <si>
    <t>0409</t>
  </si>
  <si>
    <t>Благоустройство</t>
  </si>
  <si>
    <t>0503</t>
  </si>
  <si>
    <t>Другие вопросы в области национальной безопасности и правоохранительной деятельности</t>
  </si>
  <si>
    <t>0314</t>
  </si>
  <si>
    <t>Обеспечение пожарной безопасности</t>
  </si>
  <si>
    <t>0310</t>
  </si>
  <si>
    <t>код</t>
  </si>
  <si>
    <t>раздела</t>
  </si>
  <si>
    <t>подраздела</t>
  </si>
  <si>
    <t xml:space="preserve">Жилищно- коммунальное хозяйство </t>
  </si>
  <si>
    <t>02 2 0000</t>
  </si>
  <si>
    <t xml:space="preserve">Непрограммные расходы органов местного самоуправления </t>
  </si>
  <si>
    <t xml:space="preserve">Ежегодный членский взнос в совет муниципальных образований в рамках непрограммных расходов органов местного самоуправления </t>
  </si>
  <si>
    <t>Резервные средства</t>
  </si>
  <si>
    <t xml:space="preserve">Расходы на обеспечение деятельности муниципальных казенных учреждений в рамках  непрограммных расходов органов местного самоуправления </t>
  </si>
  <si>
    <t>Иные выплаты персоналу, за исключением фонда оплаты труда казенных учреждений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</si>
  <si>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непрограммных расходов органов местного самоуправления </t>
  </si>
  <si>
    <t xml:space="preserve">Содержание имущества казны  в рамках непрограммных расходов органов местного самоуправления </t>
  </si>
  <si>
    <t>Резервные фонды местных администраций</t>
  </si>
  <si>
    <t>Наименование раздела и подраздела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</si>
  <si>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</si>
  <si>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МО Новоладожское городское поселение</t>
  </si>
  <si>
    <t>Обеспечение проведения выборов и референдумов</t>
  </si>
  <si>
    <t>0200</t>
  </si>
  <si>
    <t>Мобилизационная и вневойсковая подготовка</t>
  </si>
  <si>
    <t>0203</t>
  </si>
  <si>
    <t>0107</t>
  </si>
  <si>
    <t>Муниципальная программа МО Новоладожского городского поселения "Безопасность Новоладожского городского поселения"</t>
  </si>
  <si>
    <t>Подпрограмма "Обеспечение правопорядка и профилактика правонарушений в  МО Новоладожское городское поселение" муниципальной программы МО Новоладожского городского поселения "Безопасность Новоладожского городского поселения"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</si>
  <si>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подпрограммы   "Обеспечение правопорядка и профилактика правонарушений в  МО Новоладожское городское поселение" муниципальной программы МО Новоладожского городского поселения "Безопасность Новоладожского городского поселения"</t>
  </si>
  <si>
    <t>05 4 7134</t>
  </si>
  <si>
    <t>05 4 7133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</si>
  <si>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профилактики безнадзорности и правонарушений несовершеннолетних в рамках подпрограммы  "Обеспечение правопорядка и профилактика правонарушений в  МО Новоладожское городское поселение" муниципальной программы МО Новоладожского городского поселения "Безопасность Новоладожского городского поселения"</t>
  </si>
  <si>
    <t xml:space="preserve">Обеспечение проведения выборов и референдумов
</t>
  </si>
  <si>
    <t>68 3 0000</t>
  </si>
  <si>
    <t>68 9 0601</t>
  </si>
  <si>
    <t>Предоставлении субсидий в целях возмещения затрат в связи с оказанием услуг органам местного самоуправления МО Новоладожское городское поселение средствами массовой информации в рамках непрограммных расходов органов местного самоуправления</t>
  </si>
  <si>
    <t>Подпрограмма "Организация библиотечного обслуживания населения Новоладожского городского поселения"муниципальной программы МО Новоладожского городского поселения "Культура Новоладожского городского поселения"</t>
  </si>
  <si>
    <t>Расходы на обеспечение деятельности муниципальных казенных учреждений в рамках подпрограммы "Организация библиотечного обслуживания населения Новоладожского городского поселения"муниципальной программы МО Новоладожского городского поселения "Культура Новоладожского городского поселения"</t>
  </si>
  <si>
    <t>Предоставление муниципальным бюджетным учреждениям субсидий в рамках подпрограммы "Организация досуга и обеспечения жителей Новоладожского городского поселения услугами организаций культуры" муниципальной программы МО Новоладожского городского поселения "Культура Новоладожского городского поселения"</t>
  </si>
  <si>
    <t>Подпрограмма "Организации досуга и обеспечения жителей Новоладожского городского поселения услугами организаций культуры"</t>
  </si>
  <si>
    <t>Подпрограмма "Культурно-досуговые мероприятия Новоладожского городского поселения" муниципальной программы МО Новоладожского городского поселения "Культура Новоладожского городского поселения"</t>
  </si>
  <si>
    <t>Организация и проведение праздничных мероприятий в рамках подпрограммы "Культурно-досуговые мероприятия Новоладожского городского поселения" муниципальной программы МО Новоладожского городского поселения "Культура Новоладожского городского поселения"</t>
  </si>
  <si>
    <t>Муниципальная программа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"</t>
  </si>
  <si>
    <t>04 2 4003</t>
  </si>
  <si>
    <t>Подпрограмма «Обеспечение жильем молодых семей и иных категорий граждан, нуждающихся в улучшении жилищных условий, на территории Новоладожского городского поселения на 2014-2015 годы» муниципальной программы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"</t>
  </si>
  <si>
    <t>08 1 0302</t>
  </si>
  <si>
    <t>Муниципальная программа "Социальная поддержка отдельных категорий граждан"</t>
  </si>
  <si>
    <t>Подпрограмма "Материальная помощь отдельным категориям граждан МО Новоладожское городское поселение" муниципальной программы "Социальная поддержка отдельных категорий граждан"</t>
  </si>
  <si>
    <t>Доплата к пенсиям муниципальных служащих в рамках подпрограммы Материальная помощь отдельным категориям граждан МО Новоладожское городское поселение" муниципальной программы "Социальная поддержка отдельных категорий граждан"</t>
  </si>
  <si>
    <t>Муниципальная программа "Физическая культура и спорт Новоладожского городского поселения"</t>
  </si>
  <si>
    <t>Подпрограмма "Развитие спортивной инфраструктуры (объектов)" муниципальной программы "Физическая культура и спорт Новоладожского городского поселения"</t>
  </si>
  <si>
    <t>68 3 0015</t>
  </si>
  <si>
    <t xml:space="preserve">Обеспечение деятельности органов местного самоуправления </t>
  </si>
  <si>
    <t>Резервный фонд администрации МО Новоладожского городского поселения в рамках непрограммных расходов органов местного самоуправления</t>
  </si>
  <si>
    <t>06 3 1004</t>
  </si>
  <si>
    <t>68 9 0605</t>
  </si>
  <si>
    <t>68 9 1007</t>
  </si>
  <si>
    <t>68 9 1008</t>
  </si>
  <si>
    <t>68 9 1009</t>
  </si>
  <si>
    <t>Муниципальная программа "Безопасность Новоладожского городского поселения"</t>
  </si>
  <si>
    <t>Подпрограмма "Предупреждение и ликвидация последствий чрезвычайных ситуаций в границах Новоладожского городского поселения "муниципальной программы "Безопасность Новоладожского городского поселения"</t>
  </si>
  <si>
    <t>05 2 1010</t>
  </si>
  <si>
    <t>Предупреждение и ликвидация последствий чрезвычайных ситуаций ,обеспечение безопасности людей на водоемах, создание технических средств оповещения населения в рамках подпрограммы "Предупреждение и ликвидация последствий чрезвычайных ситуаций в границах Новоладожского городского поселения " муниципальной программы "Безопасность Новоладожского городского поселения"</t>
  </si>
  <si>
    <t>Обеспечение мер пожарной безопасности в рамках подпрограммы "Пожарная безопасность в границах Новоладожского городского поселения" муниципальной программы "Безопасность Новоладожского городского поселения"</t>
  </si>
  <si>
    <t>05 3 1011</t>
  </si>
  <si>
    <t>Подпрограмма "Профилактика терроризма и экстремизма в границах Новоладожского городского поселения "  муниципальной программы "Безопасность Новоладожского городского поселения"</t>
  </si>
  <si>
    <t>05 1 1012</t>
  </si>
  <si>
    <t xml:space="preserve"> Муниципальная программа "Дороги Новоладожского городского поселения"</t>
  </si>
  <si>
    <t>Подпрограмма "Совершенствование и развитие автомобильных дорог местного значения Новоладожского городского поселения " муниципальной программы  "Дороги Новоладожского городского поселения"</t>
  </si>
  <si>
    <t>03 0 0000</t>
  </si>
  <si>
    <t>03 1 0000</t>
  </si>
  <si>
    <t>Мероприятия по ремонту автомобильных дорог в рамках подпрограммы  "Совершенствование и развитие автомобильных дорог местного значения Новоладожского городского поселения " муниципальной программы  "Дороги Новоладожского городского поселения"</t>
  </si>
  <si>
    <t>03 1 1012</t>
  </si>
  <si>
    <t>Подпрограмма "Повышение безопасности дорожного движения и снижение дорожно-транспортного травматизма в МО Новоладожское городское поселение" муниципальной программы  "Дороги Новоладожского городского поселения"</t>
  </si>
  <si>
    <t>03 2 1019</t>
  </si>
  <si>
    <t>Осуществление работ  по  повышению безопасности дорожного движения  и снижению травматизма  в рамках подпрограммы "Повышение безопасности дорожного движения и снижение дорожно-транспортного травматизма в МО Новоладожское городское поселение" муниципальной программы  "Дороги Новоладожского городского поселения"</t>
  </si>
  <si>
    <t>03 2 1020</t>
  </si>
  <si>
    <t>Мероприятия по землеустройству и землепользованию</t>
  </si>
  <si>
    <t>68 9 1013</t>
  </si>
  <si>
    <t>Национальная оборона</t>
  </si>
  <si>
    <t>68 9 5118</t>
  </si>
  <si>
    <t xml:space="preserve">На осуществление первичного воинского учета на территориях, где отсутствуют военные комиссариаты в рамках  непрограммных расходов органов местного самоуправления </t>
  </si>
  <si>
    <t xml:space="preserve"> Муниципальная программа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района"</t>
  </si>
  <si>
    <t>04 1 0000</t>
  </si>
  <si>
    <t>Подпрограмма "Переселение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2014-2016 годах" муниципальной программы 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района"</t>
  </si>
  <si>
    <t>04 1 9603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</si>
  <si>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 "Переселение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2014-2016 годах" муниципальной программы 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района"</t>
  </si>
  <si>
    <t>Предоставление бюджетных инвестиций в объекты капитального строительства  собственности муниципальных образований  в рамках подпрограммы  "Переселение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2014-2016 годах" муниципальной программы 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района"</t>
  </si>
  <si>
    <t>68 9 1022</t>
  </si>
  <si>
    <t>Муниципальная программа "Комплексное развитие систем жилищно - коммунальной инфраструктуры  на территории МО Новоладожское городское поселение на 2014-2015 годы"</t>
  </si>
  <si>
    <t>Подпрограмма "Ремонт многоквартирных домов городского поселения" муниципальной программы "Комплексное развитие систем жилищно - коммунальной инфраструктуры  на территории МО Новоладожское городское поселение на 2014-2015 годы"</t>
  </si>
  <si>
    <t>01 1 0000</t>
  </si>
  <si>
    <t>01 1 1024</t>
  </si>
  <si>
    <t>Мероприятия по обеспечению сноса  расселяемых аварийных домов в рамках  непрограммных расходов органов местного самоуправления</t>
  </si>
  <si>
    <t>68 9 1023</t>
  </si>
  <si>
    <t>Мероприятия в области коммунального хозяйства в рамках  непрограммных расходов органов местного самоуправления</t>
  </si>
  <si>
    <t>Подпрограмма "Энергосбережение и повышение энергетической эффективности на территории МО Новоладожское городское поселение на 2014-2015гг." муниципальной программы "Комплексное развитие систем жилищно - коммунальной инфраструктуры  на территории МО Новоладожское городское поселение на 2014-2015 годы"</t>
  </si>
  <si>
    <t>Реализация мероприятий по повышению надежности и энергетической эффективности в системах теплоснабжения в рамках подпрограммы "Энергосбережение и повышение энергетической эффективности на территории МО Новоладожское городское поселение на 2014-2015гг." муниципальной программы "Комплексное развитие систем жилищно - коммунальной инфраструктуры  на территории МО Новоладожское городское поселение на 2014-2015 годы"</t>
  </si>
  <si>
    <t>01 2 1025</t>
  </si>
  <si>
    <t>Подпрограмма "Подготовка объектов и систем жизнеобеспечения на территории МО Новоладожское городское поселение к работе в осенне-зимний период на 2014-2015гг" муниципальной программы "Комплексное развитие систем жилищно - коммунальной инфраструктуры  на территории МО Новоладожское городское поселение на 2014-2015 годы"</t>
  </si>
  <si>
    <t>01 3 0000</t>
  </si>
  <si>
    <t>01 3 1026</t>
  </si>
  <si>
    <t>68 9 1027</t>
  </si>
  <si>
    <t xml:space="preserve">Уличное освещение в рамках  непрограммных расходов органов местного самоуправления </t>
  </si>
  <si>
    <t>68 9 1028</t>
  </si>
  <si>
    <t xml:space="preserve">Осуществление  прочих мероприятий по благоустройству  в рамках непрограммных расходов органов местного самоуправления </t>
  </si>
  <si>
    <t>68 9 1029</t>
  </si>
  <si>
    <t xml:space="preserve"> Муниципальная программа "Благоустройство территории Новоладожского городского поселения"</t>
  </si>
  <si>
    <t>02 1 0000</t>
  </si>
  <si>
    <t>Подпрограмма "Организация благоустройства  на территории Новоладожского городского поселения " муниципальной программы "Благоустройство территории Новоладожского городского поселения"</t>
  </si>
  <si>
    <t>02 1 1030</t>
  </si>
  <si>
    <t>Озеленение территории в рамках подпрограммы  "Организация благоустройства  на территории Новоладожского городского поселения " муниципальной программы "Благоустройство территории Новоладожского городского поселения"</t>
  </si>
  <si>
    <t>02 1 1031</t>
  </si>
  <si>
    <t>Организация благоустройства территории в рамках подпрограммы  "Организация благоустройства  на территории Новоладожского городского поселения " муниципальной программы "Благоустройство территории Новоладожского городского поселения"</t>
  </si>
  <si>
    <t>Подпрограмма "Создание и развитие парковой зоны отдыха на территории Новоладожского городского поселения  " муниципальной программы "Благоустройство территории Новоладожского городского поселения"</t>
  </si>
  <si>
    <t>Мероприятия по созданию зоны отдыха жителей   в рамках подпрограммы  "Организация благоустройства  на территории Новоладожского городского поселения " муниципальной программы "Благоустройство территории Новоладожского городского поселения"</t>
  </si>
  <si>
    <t>Устройство пешеходных  в рамках подпрограммы  "Организация благоустройства  на территории Новоладожского городского поселения " муниципальной программы "Благоустройство территории Новоладожского городского поселения"</t>
  </si>
  <si>
    <t>02 1 1032</t>
  </si>
  <si>
    <t>03 2 0000</t>
  </si>
  <si>
    <t>04 1 1021</t>
  </si>
  <si>
    <t>05 01 1012</t>
  </si>
  <si>
    <t>Подпрограмма "Пожарная безопасность в границах Новоладожского городского поселения" муниципальной программы "Безопасность Новоладожского городского поселения"</t>
  </si>
  <si>
    <t>Муниципальная программа  МО Новоладожского городского поселения "Культура Новоладожского городского поселения"</t>
  </si>
  <si>
    <t>07 1 1037</t>
  </si>
  <si>
    <t>02 2 1035</t>
  </si>
  <si>
    <t>02 2 1036</t>
  </si>
  <si>
    <t>870</t>
  </si>
  <si>
    <t>116</t>
  </si>
  <si>
    <t>01 4 1038</t>
  </si>
  <si>
    <t>01 4 0000</t>
  </si>
  <si>
    <t>Реализация мероприятий по обеспечению перевода жилого фонда на природный газ рамках подпрограммы "Газификация жилищного фонда, расположенного на территории МО Новоладожское городское поселение на 2014год" муниципальной программы "Комплексное развитие систем жилищно - коммунальной инфраструктуры  на территории МО Новоладожское городское поселение на 2014-2015 годы"</t>
  </si>
  <si>
    <t>Подпрограмма "Газификация жилищного фонда, расположенного на территории МО Новоладожское городское поселение на 2014год" муниципальной программы "Комплексное развитие систем жилищно - коммунальной инфраструктуры  на территории МО Новоладожское городское поселение на 2014-2015 годы"</t>
  </si>
  <si>
    <t>Вырубка аварийных и сухостойных деревьев, покос травы  в рамках подпрограммы  "Организация благоустройства  на территории Новоладожского городского поселения " муниципальной программы "Благоустройство территории Новоладожского городского поселения"</t>
  </si>
  <si>
    <t>Устройство пешеходных  дорожек в рамках подпрограммы  "Организация благоустройства  на территории Новоладожского городского поселения " муниципальной программы "Благоустройство территории Новоладожского городского поселения"</t>
  </si>
  <si>
    <t xml:space="preserve">Осуществление первичного воинского учета на территориях, где отсутствуют военные комиссариаты в рамках  непрограммных расходов органов местного самоуправления </t>
  </si>
  <si>
    <t>Субсидии гражданам на приобретение жилья</t>
  </si>
  <si>
    <t>68 9 1039</t>
  </si>
  <si>
    <t xml:space="preserve">Расходы на оказание материальной помощи за счет средств резервного фонда в рамках  непрограммных расходов органов местного самоуправления </t>
  </si>
  <si>
    <t xml:space="preserve">Пособия, компенсации, меры социальной поддержки
по публичным нормативным обязательствам
</t>
  </si>
  <si>
    <t>68 9 1040</t>
  </si>
  <si>
    <t>Ремонт многоквартирных домов городского поселения в рамках подпрограммы "Ремонт многоквартирных домов городского поселения" муниципальной программы "Комплексное развитие систем жилищно - коммунальной инфраструктуры  на территории МО Новоладожское городское поселение на 2014-2015 годы"</t>
  </si>
  <si>
    <t>Приобретение недвижимого имущества-жилого помещения в муниципальную собственность  в рамках непрограммных расходов органов местного самоуправления</t>
  </si>
  <si>
    <t>Установка  предупреждающих дорожных знаков, «Лежачих полицейских», ограждений, устройство дорожной разметки и освещения пешеходных переходов     в рамках подпрограммы "Повышение безопасности дорожного движения и снижение дорожно-транспортного травматизма в МО Новоладожское городское поселение" муниципальной программы  "Дороги Новоладожского городского поселения"</t>
  </si>
  <si>
    <t>Оказания поддержки в обеспечении жильем молодых семей в рамках подпрограммы «Обеспечение жильем молодых семей и иных категорий граждан, нуждающихся в улучшении жилищных условий, на территории Новоладожского городского поселения на 2014-2015 годы» муниципальной программы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"</t>
  </si>
  <si>
    <t>04 1 9503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</si>
  <si>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 "Переселение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2014-2016 годах" муниципальной программы 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района" ( средства Ленинградской области)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</si>
  <si>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 "Переселение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2014-2016 годах" муниципальной программы 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района" (средства местного бюджета)</t>
  </si>
  <si>
    <t xml:space="preserve"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 "Переселение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2014-2016 годах" муниципальной программы 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района"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</si>
  <si>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 "Переселение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2014-2016 годах" муниципальной программы 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района" (средства Ленинградской области)</t>
  </si>
  <si>
    <t>68 9 7202</t>
  </si>
  <si>
    <t>Выполнение наказов избирателей</t>
  </si>
  <si>
    <t>68 9 7203</t>
  </si>
  <si>
    <t>Подготовка и проведение мероприятий, посвященных Дню образования ЛО"</t>
  </si>
  <si>
    <t>Мероприятия, направленные на развитие части территории МО Новоладожское городское поселение</t>
  </si>
  <si>
    <t>68 9 7088</t>
  </si>
  <si>
    <t>Создание условий для эффективного выполнения органами местного самоуправления своих полномочий</t>
  </si>
  <si>
    <t>68 9 1041</t>
  </si>
  <si>
    <t>Устройство спортивной площадки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</si>
  <si>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</si>
  <si>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</si>
  <si>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68 9 6009</t>
  </si>
  <si>
    <t>Подпрограмма "Оказание поддержки в 2014 году гражданам, пострадавшим в результате пожара муниципального жилищного фонда" муниципальной программы 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района"</t>
  </si>
  <si>
    <t>04 3 0000</t>
  </si>
  <si>
    <t>04 3 1021</t>
  </si>
  <si>
    <t>03 1 7014</t>
  </si>
  <si>
    <t>Ремонт автомобильных дорог общего пользования местного значения , в том числе в населенных пунктах</t>
  </si>
  <si>
    <t>01 3 7026</t>
  </si>
  <si>
    <t>Устройство спортивной площадки(ВМР)</t>
  </si>
  <si>
    <t>Обеспечение мероприятий по оказанию поддержки в 2014году гражданам, пострадавшим в результате пожара муниципального жилищного фонда в рамках подпрограммы  "Оказание поддержки в 2014 году гражданам, пострадавшим в результате пожара муниципального жилищного фонда" муниципальной программы 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района"</t>
  </si>
  <si>
    <t>Мероприятия по созданию зоны отдыха жителей, устройство пешеходных  дорожек   в рамках подпрограммы  "Организация благоустройства  на территории Новоладожского городского поселения " муниципальной программы "Благоустройство территории Новоладожского городского поселения"</t>
  </si>
  <si>
    <t>04 2 5020</t>
  </si>
  <si>
    <t>Реализация подпрограммы "ОЖМС" ФЦП "Жилище" на 2011-2015 годы за счет средств федерального бюджета</t>
  </si>
  <si>
    <t>04 2 7075</t>
  </si>
  <si>
    <t>04 2 7076</t>
  </si>
  <si>
    <t>Реализация подпрограммы "ОЖМС" ФЦП "Жилище" на 2011-2015 годы за счет средств областного бюджета</t>
  </si>
  <si>
    <t>68 9 7037</t>
  </si>
  <si>
    <t>Информатизация и модернизация в сфере культуры</t>
  </si>
  <si>
    <t>68 9 7036</t>
  </si>
  <si>
    <t xml:space="preserve">Обеспечение выплат стимулирующего характера работникам муниципальных учреждений культуры </t>
  </si>
  <si>
    <t>04 3 7080</t>
  </si>
  <si>
    <t>Обеспечение мероприятий по оказанию поддержки в 2014году гражданам, пострадавшим в результате пожара муниципального жилищного фонда за счет средств Ленинградской области</t>
  </si>
  <si>
    <t>68 9 7001</t>
  </si>
  <si>
    <t>68 9 1036</t>
  </si>
  <si>
    <t>68 9 7055</t>
  </si>
  <si>
    <t>68 9 1042</t>
  </si>
  <si>
    <t>Приобретение коммунальной техники в рамках непрограмных расходов органов местного самоуправления</t>
  </si>
  <si>
    <t xml:space="preserve">Ремонт асфальтобетонного покрытия тротуаров в рамках непрограммных расходов органов местного самоуправления </t>
  </si>
  <si>
    <t>Жилье для молодежи  в рамках подпрограммы "Жилье для молодежи" государственной программы Ленинградской области "Обеспечение качественным жильем граждан на территории Ленинградской области"</t>
  </si>
  <si>
    <t>Мероприятия  по подготовке объектов и систем жизнеобеспечения  к работе в осенне-зимний период   в рамках подпрограммы "Подготовка объектов и систем жизнеобеспечения на территории МО Новоладожское городское поселение к работе в осенне-зимний период на 2014-2015гг" муниципальной программы "Комплексное развитие систем жилищно - коммунальной инфраструктуры  на территории МО Новоладожское городское поселение на 2014-2015 годы"</t>
  </si>
  <si>
    <t>Мероприятия, направленные на безаварийную работу объектов водоснабжения и водоотведения в рамках подпрограммы "Подготовка объектов и систем жизнеобеспечения на территории МО Новоладожское городское поселение к работе в осенне-зимний период на 2014-2015гг" муниципальной программы "Комплексное развитие систем жилищно - коммунальной инфраструктуры  на территории МО Новоладожское городское поселение на 2014-2015 годы"</t>
  </si>
  <si>
    <t>Мероприятия  по подготовке объектов и систем жизнеобеспечения  к работе в осенне-зимний период  в рамках подпрограммы "Подготовка объектов и систем жизнеобеспечения на территории МО Новоладожское городское поселение к работе в осенне-зимний период на 2014-2015гг" муниципальной программы "Комплексное развитие систем жилищно - коммунальной инфраструктуры  на территории МО Новоладожское городское поселение на 2014-2015 годы"</t>
  </si>
  <si>
    <t>Проведение мероприятий, направленных на  профилактику терроризма и экстремизма в  рамках подпрограммы "Профилактика терроризма и экстремизма в границах Новоладожского городского поселения "  муниципальной программы "Безопасность Новоладожского городского поселения"</t>
  </si>
  <si>
    <t>Иные межбюджетные трансферты на  софинансирование оказания поддержки в обеспечении жильем молодых семей в рамках подпрограммы «Обеспечение жильем молодых семей и иных категорий граждан, нуждающихся в улучшении жилищных условий, на территории Новоладожского городского поселения на 2014-2015 годы» муниципальной программы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"</t>
  </si>
  <si>
    <t>Устройство спортивной площадки, расположенной в микрорайоне "А" и устройство детских площадок, расположенных в микрорайонах "А",  "В" и на ул. Северная за счет средств Ленинградской области</t>
  </si>
  <si>
    <t>Мероприятия области жилищно-коммунального хозяйства в рамках  непрограммных расходов органов местного самоуправления</t>
  </si>
  <si>
    <t>Коммунальное хозяйство хозяйство</t>
  </si>
  <si>
    <t>Мероприятия по обеспечению сноса  расселяемых аварийных домов, сараев в рамках  непрограммных расходов органов местного самоуправления</t>
  </si>
  <si>
    <t>68 9 1020</t>
  </si>
  <si>
    <t>Осуществление работ  по  повышению безопасности дорожного движения  и снижению травматизма  в рамках непрограммных расходов органов местного самоуправления</t>
  </si>
  <si>
    <t>Мероприятия по проектным работам для строительства физкультурно-оздоровительного комплекса  в рамках подпрограммы "Развитие спортивной инфраструктуры (объектов)" муниципальной программы "Физическая культура и спорт Новоладожского городского поселения"</t>
  </si>
  <si>
    <t>03 1 1036</t>
  </si>
  <si>
    <t>Иные закупки товаров, работ и услуг для обеспечения государственных (муниципальных) нужд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</si>
  <si>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</si>
  <si>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</si>
  <si>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120</t>
  </si>
  <si>
    <t xml:space="preserve">Расходы на выплаты персоналу казенных учреждений
</t>
  </si>
  <si>
    <t xml:space="preserve">Уплата налогов, сборов и иных платежей
</t>
  </si>
  <si>
    <t xml:space="preserve">Бюджетные инвестиции
</t>
  </si>
  <si>
    <t xml:space="preserve">Бюджетные инвестиции </t>
  </si>
  <si>
    <t>110</t>
  </si>
  <si>
    <t>850</t>
  </si>
  <si>
    <t xml:space="preserve">Субсидии бюджетным учреждениям
</t>
  </si>
  <si>
    <t>610</t>
  </si>
  <si>
    <t xml:space="preserve">Социальные выплаты гражданам, кроме публичных нормативных социальных выплат
</t>
  </si>
  <si>
    <t>320</t>
  </si>
  <si>
    <t>240</t>
  </si>
  <si>
    <t>410</t>
  </si>
  <si>
    <t>01 3 1043</t>
  </si>
  <si>
    <t>Ремонт асфальтобетонного покрытия тротуаров в рамках подпрограммы  "Совершенствование и развитие автомобильных дорог местного значения Новоладожского городского поселения " муниципальной программы  "Дороги Новоладожского городского поселения"</t>
  </si>
  <si>
    <t xml:space="preserve">Субсидии юридическим лицам (кроме некоммерческих организаций), индивидуальным предпринимателям, физическим лицам
</t>
  </si>
  <si>
    <t>непрогр.</t>
  </si>
  <si>
    <t>прогр</t>
  </si>
  <si>
    <t>67 3 4004</t>
  </si>
  <si>
    <t>0106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</si>
  <si>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</si>
  <si>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Межбюджетные трансферты на обеспечение
функционирования контрольно-счетного органа</t>
  </si>
  <si>
    <t xml:space="preserve">Иные межбюджетные трансферты
</t>
  </si>
  <si>
    <t>09 0 0000</t>
  </si>
  <si>
    <t>Муниципальная программа "Развитие малого и среднего предпринимательства в Новоладожском городском поселении на 2015-2020 годы"</t>
  </si>
  <si>
    <t>09 1 1044</t>
  </si>
  <si>
    <t>Поддержка малого и среднего препринимательства</t>
  </si>
  <si>
    <t>01 3 6002</t>
  </si>
  <si>
    <t>Обслуживание детских и спортивных площадок на территории МО Новоладожское городское поселение</t>
  </si>
  <si>
    <t>68 9 1045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</si>
  <si>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</si>
  <si>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09 1 0000</t>
  </si>
  <si>
    <t>Подпрограмма "Развитие малого и среднего предпринимательства в Новоладожском городском поселении " муниципальной программы "Развитие малого и среднего предпринимательства в Новоладожском городском поселении на 2015-2020 годы"</t>
  </si>
  <si>
    <t>68 9 1046</t>
  </si>
  <si>
    <t>Мероприятия, направленные на безаварийную работу объектов водоснабжения и водоотведения (ВМР)</t>
  </si>
  <si>
    <t>10 0 0000</t>
  </si>
  <si>
    <t>10 1 0000</t>
  </si>
  <si>
    <t>10 1 1047</t>
  </si>
  <si>
    <t xml:space="preserve"> Муниципальная программа "Создание условий для эффективного выполнения органами местного самоуправления МО Новоладожское городское поселение своих полномочий на 2015 год"</t>
  </si>
  <si>
    <t>Подпрограмма "Реализация иннициатив граждан  на части террирории МО Новоладожского городского поселения " муниципальной программы  "Создание условий для эффективного выполнения органами местного самоуправления МО Новоладожское городское поселение своих полномочий на 2015 год"</t>
  </si>
  <si>
    <t>68 9 0017</t>
  </si>
  <si>
    <t xml:space="preserve">Предоставление муниципальным бюджетным учреждениям субсидий  в рамках  непрограммных расходов органов местного самоуправления </t>
  </si>
  <si>
    <t>03 2 0017</t>
  </si>
  <si>
    <t>Предоставление муниципальным бюджетным учреждениям субсидий  в рамках подпрограммы "Повышение безопасности дорожного движения и снижение дорожно-транспортного травматизма в МО Новоладожское городское поселение" муниципальной программы  "Дороги Новоладожского городского поселения"</t>
  </si>
  <si>
    <t>02 1 0017</t>
  </si>
  <si>
    <t>Предоставление муниципальным бюджетным учреждениям субсидий  в рамках  в рамках подпрограммы  "Организация благоустройства  на территории Новоладожского городского поселения " муниципальной программы "Благоустройство территории Новоладожского городского поселения"</t>
  </si>
  <si>
    <t>Оказанием услуг средствами массовой информации органам местного самоуправления МО Новоладожское городское поселение  в рамках непрограммных расходов органов местного самоуправления</t>
  </si>
  <si>
    <t>Субсидии бюджетным учреждениям</t>
  </si>
  <si>
    <t xml:space="preserve">Предоставление муниципальным бюджетным учреждениям субсидий  в рамках  в рамках подпрограммы  "Организация благоустройства  на территории Новоладожского городского поселения " </t>
  </si>
  <si>
    <t>(приложение 1)</t>
  </si>
  <si>
    <t>код бюджетной</t>
  </si>
  <si>
    <t>НАИМЕНОВАНИЕ</t>
  </si>
  <si>
    <t>классификации</t>
  </si>
  <si>
    <t>000 01 02 00 00 00 0000 710</t>
  </si>
  <si>
    <t>Кредиты кредитных организаций в валюте Российской Федерации</t>
  </si>
  <si>
    <t>000 01 02 00 0000 0000 710</t>
  </si>
  <si>
    <t>Получение кредитов от кредитных организаций бюджетами поселений в валюте Российскй Федерации</t>
  </si>
  <si>
    <t>000 01 03 00 00 00 0000 000</t>
  </si>
  <si>
    <t xml:space="preserve">Бюджетные кредиты от других бюджетов бюджетной системы Российской Федерации </t>
  </si>
  <si>
    <t>000 01 03 01 00 05 0000 710</t>
  </si>
  <si>
    <t>Получение кредитов от других бюджетов бюджетной системы Российской Федерации бюджетами  поселений в валюте Российской Федерации</t>
  </si>
  <si>
    <t>000 01 03 01 00 05 0000 810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</si>
  <si>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</si>
  <si>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</si>
  <si>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</si>
  <si>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</si>
  <si>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</si>
  <si>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</si>
  <si>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</si>
  <si>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000 01 06 05 02 05 0000 540</t>
  </si>
  <si>
    <t>Предоставление бюджетных кредитов другим бюджетам бюджетной системы Российской Федерации из бюджетов поселений в валюте Российской Федерации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</si>
  <si>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</si>
  <si>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бюджетов поселений в валюте Российской Федерации</t>
  </si>
  <si>
    <t>000 01 06 10 00 00 0000 000</t>
  </si>
  <si>
    <t>Операции по управлению остатками средств на единых счетах бюджета</t>
  </si>
  <si>
    <t>000 01 06 10 02 05 0003 550</t>
  </si>
  <si>
    <t>Увеличение финансовых активов в собственности муниципальных районов за счет средств автономных и бюджетных учреждений</t>
  </si>
  <si>
    <t>Всего источников внутреннего финансирования</t>
  </si>
  <si>
    <t xml:space="preserve">  </t>
  </si>
  <si>
    <t>(приложение 2)</t>
  </si>
  <si>
    <t>ИСТОЧНИК ДОХОДОВ</t>
  </si>
  <si>
    <t xml:space="preserve"> 1 00 00000 00 0000 000</t>
  </si>
  <si>
    <t>НАЛОГОВЫЕ И НЕНАЛОГОВЫЕ ДОХОДЫ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</si>
  <si>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</si>
  <si>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</si>
  <si>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</si>
  <si>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</si>
  <si>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>1 01 02010 01 1000 110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</si>
  <si>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</si>
  <si>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1 01 02020 01 1000 110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</si>
  <si>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
</t>
  </si>
  <si>
    <t>1 01 02030 01 1000 110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</si>
  <si>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</si>
  <si>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 1 03 00000 00 0000 000</t>
  </si>
  <si>
    <t>1 03 02000 01 0000 110</t>
  </si>
  <si>
    <t>Акцизы по подакцизным товарам (продукции), производимым на территории Российской Федерации</t>
  </si>
  <si>
    <t xml:space="preserve"> 1 03 02230 01 0000 110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</si>
  <si>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</si>
  <si>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 xml:space="preserve">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</si>
  <si>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</si>
  <si>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</si>
  <si>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</si>
  <si>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</si>
  <si>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</si>
  <si>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 xml:space="preserve"> 1 05 00000 00 0000 000</t>
  </si>
  <si>
    <t>НАЛОГИ НА СОВОКУПНЫЙ ДОХОД</t>
  </si>
  <si>
    <t>1 05 03000 01 0000 110</t>
  </si>
  <si>
    <t>Единый сельскохозяйственный налог</t>
  </si>
  <si>
    <t xml:space="preserve"> 1 06 00000 00 0000 000</t>
  </si>
  <si>
    <t>НАЛОГИ НА ИМУЩЕСТВО</t>
  </si>
  <si>
    <t>1 06 01000 00 0000 110</t>
  </si>
  <si>
    <t>Налог на имущество физических лиц</t>
  </si>
  <si>
    <t>Налог на имущество физических лиц, взимаемый по ставке, применяемой к объекту налогообложения, расположенному в границах поселения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</si>
  <si>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</si>
  <si>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</si>
  <si>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</si>
  <si>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</si>
  <si>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</si>
  <si>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</si>
  <si>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1 06 06000 00 0000 110</t>
  </si>
  <si>
    <t>Земельный налог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</si>
  <si>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</si>
  <si>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</si>
  <si>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</si>
  <si>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</si>
  <si>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</si>
  <si>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</si>
  <si>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</si>
  <si>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</si>
  <si>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</si>
  <si>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</si>
  <si>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1 13 00000 00 0000 000</t>
  </si>
  <si>
    <t xml:space="preserve">ДОХОДЫ ОТ ОКАЗАНИЯ ПЛАТНЫХ УСЛУГ (РАБОТ) И КОМПЕНСАЦИИ ЗАТРАТ ГОСУДАРСТВА
</t>
  </si>
  <si>
    <t>1 13 02995 13 0000 130</t>
  </si>
  <si>
    <t>Прочие доходы от компенсации затрат бюджетов городских поселений</t>
  </si>
  <si>
    <t xml:space="preserve"> 1 14 00000 00 0000 000</t>
  </si>
  <si>
    <t>ДОХОДЫ ОТ ПРОДАЖИ МАТЕРИАЛЬНЫХ И НЕМАТЕРИАЛЬНЫХ АКТИВОВ</t>
  </si>
  <si>
    <t>114 02053 13 0000 410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</si>
  <si>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</si>
  <si>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</si>
  <si>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</si>
  <si>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1 15 00000 00 0000 000</t>
  </si>
  <si>
    <t>АДМИНИСТРАТИВНЫЕ ПЛАТЕЖИ И СБОРЫ</t>
  </si>
  <si>
    <t xml:space="preserve"> 1 15 02050 05 0000 140</t>
  </si>
  <si>
    <t>Платежи, взимаемые органами управления (организациями) муниципальных районов за выполнение определенных функций</t>
  </si>
  <si>
    <t xml:space="preserve">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</si>
  <si>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</si>
  <si>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</si>
  <si>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</si>
  <si>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 xml:space="preserve"> 1 16 00000 00 0000 000</t>
  </si>
  <si>
    <t>ШТРАФЫ, САНКЦИИ, ВОЗМЕЩЕНИЕ УЩЕРБА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</si>
  <si>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</si>
  <si>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</si>
  <si>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</si>
  <si>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</si>
  <si>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 xml:space="preserve"> 1 17 00000 00 0000 000</t>
  </si>
  <si>
    <t>ПРОЧИЕ НЕНАЛОГОВЫЕ ДОХОДЫ</t>
  </si>
  <si>
    <t xml:space="preserve"> 1 17 05050 13 0000 180</t>
  </si>
  <si>
    <t>Прочие неналоговые доходы бюджетов городских поселений</t>
  </si>
  <si>
    <t>2 00 00 000 00 0000 000</t>
  </si>
  <si>
    <t>БЕЗВОЗМЕЗДНЫЕ ПОСТУПЛЕНИЯ</t>
  </si>
  <si>
    <t xml:space="preserve">ВСЕГО ДОХОДОВ </t>
  </si>
  <si>
    <t>(приложение 3)</t>
  </si>
  <si>
    <t>код бюджетной классификации</t>
  </si>
  <si>
    <t>2 02 00 000 00 0000 151</t>
  </si>
  <si>
    <t>БЕЗВОЗМЕЗДНЫЕ ПОСТУПЛЕНИЯ ОТ ДРУГИХ БЮДЖЕТОВ БЮДЖЕТНОЙ СИСТЕМЫ РОССИЙСКОЙ ФЕДЕРАЦИИ</t>
  </si>
  <si>
    <t xml:space="preserve"> 2 02 03000 00 0000 151</t>
  </si>
  <si>
    <t>ДОТАЦИИ  бюджетам субъектов Российской Федерации и муниципальных образований</t>
  </si>
  <si>
    <t xml:space="preserve"> 2 02 01001 13 0000 151</t>
  </si>
  <si>
    <t>Дотации бюджетам поселений на выравнивание бюджетной обеспеченности</t>
  </si>
  <si>
    <t xml:space="preserve"> 2 02 01003 10 0000 151</t>
  </si>
  <si>
    <t>Дотации бюджетам поселений на поддержку мер по сбалансированности бюджетов</t>
  </si>
  <si>
    <t xml:space="preserve"> - дотация из ОФФП</t>
  </si>
  <si>
    <t xml:space="preserve"> - дотация из РФФП</t>
  </si>
  <si>
    <t>СУБСИДИИ бюджетам субъектов Российской Федерации и муниципальных образований</t>
  </si>
  <si>
    <t>2 02 02088 13 0004 151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</si>
  <si>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средств, поступивших от государственной корпорации Фонд содействия реформированию жилищно-коммунального хозяйства</t>
  </si>
  <si>
    <t>2 02 02089 13 0004 151</t>
  </si>
  <si>
    <t>Субсидии бюджетам поселений на обеспечение мероприятий по переселению граждан из жилищного фонда учетом необходимости развития малоэтажного строительства фонда за счет средств бюджетов</t>
  </si>
  <si>
    <t xml:space="preserve">2 02 02216 13 0000 151
</t>
  </si>
  <si>
    <t xml:space="preserve"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</si>
  <si>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 xml:space="preserve">2 02 02077 13 0000 151
</t>
  </si>
  <si>
    <t>2 02 02051 13 0000 151</t>
  </si>
  <si>
    <t>Субсидии на реализацию подпрограммы "ОЖМС" ФЦП "Жилище" на 2011-2015 годы за счет средств федерального бюджета</t>
  </si>
  <si>
    <t xml:space="preserve">2 02 02008 13 0000 151
</t>
  </si>
  <si>
    <t>Субсидии на реализацию подпрограммы "ОЖМС" ФЦП "Жилище" на 2011-2015 годы за счет средств областного бюджета</t>
  </si>
  <si>
    <t>2 02 02999 13 0000 151</t>
  </si>
  <si>
    <t>Субсидии на жилье для молодежи в рамках подпрограммы "Жилье для молодежи " государственной программы Ленинградской области "Обеспечение качественным жильем  граждан на территории Ленинградской области"</t>
  </si>
  <si>
    <t>СУБВЕНЦИИ бюджетам субъектов Российской Федерации и муниципальных образований</t>
  </si>
  <si>
    <t xml:space="preserve"> 2 02 03015 13 0000 151</t>
  </si>
  <si>
    <t>осуществление первичного воинского учета на территориях, где отсутствуют военные комиссариаты</t>
  </si>
  <si>
    <t xml:space="preserve"> 2 02 03024 13 0000 151</t>
  </si>
  <si>
    <t>на выполнение передаваемых полномочий субъектов Российской Федерации, в том числе</t>
  </si>
  <si>
    <t>- в сфере профилактики безнадзорности и правонарушений несовершеннолетних</t>
  </si>
  <si>
    <t>- в сфере административных правоотношений</t>
  </si>
  <si>
    <t xml:space="preserve"> 2 02 04000 00 0000 151</t>
  </si>
  <si>
    <t xml:space="preserve"> ИНЫЕ МЕЖБЮДЖЕТНЫЕ ТРАНСФЕРТЫ</t>
  </si>
  <si>
    <t>2 02 04999 13 0000 151</t>
  </si>
  <si>
    <t>Прочие межбюджетные трансферты</t>
  </si>
  <si>
    <t xml:space="preserve"> - Замена канализационных труб г.Новая Ладога м-н "В" от д.20 до д.8</t>
  </si>
  <si>
    <t xml:space="preserve"> -  Ремонт центрального водовода от хоздвора завода "Лаконд" до ветлечебницы ул. Ленинградская</t>
  </si>
  <si>
    <t xml:space="preserve"> -  Обеспечение мероприятий по переселению граждан из жилищного фонда учетом необходимости развития малоэтажного строительства </t>
  </si>
  <si>
    <t>2 19 05000 13 0000 151</t>
  </si>
  <si>
    <t>2 02 04012 13 0000 151</t>
  </si>
  <si>
    <t xml:space="preserve"> - На поддержку муниципальных образований Ленинградской области по развитию общественной инфраструктуры муниципального значения в ЛО</t>
  </si>
  <si>
    <t>Субсидии бюджетам поселений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в рамках подпрограммы "Создание условий для эффективного выполнения органами местного самоуправления своих полномочий на 2014 - 2016 годы" государственной программы Ленинградской области "Устойчивое общественное развитие в Ленинградской области"</t>
  </si>
  <si>
    <t>10 1 7088</t>
  </si>
  <si>
    <t xml:space="preserve">Осуществление  организации ритуальных услуг, предоставляемых согласно  гарантированному перечню услуг по погребению  в рамках непрограммных расходов органов местного самоуправления </t>
  </si>
  <si>
    <t xml:space="preserve"> - осуществление первичного воинского учета на территориях, где отсутствуют военные комиссариаты</t>
  </si>
  <si>
    <t>1 05 03010 01 1000 110</t>
  </si>
  <si>
    <t>1 06 01030 13 0000 110</t>
  </si>
  <si>
    <t xml:space="preserve"> 1 09 00000 00 0000 000</t>
  </si>
  <si>
    <t>1 09 04000 00 0000 110</t>
  </si>
  <si>
    <t xml:space="preserve">1 09 04053 13 0000 110
</t>
  </si>
  <si>
    <t xml:space="preserve">Земельный налог (по обязательствам, возникшим до 1 января 2006 года), мобилизуемый на территориях городских поселений
</t>
  </si>
  <si>
    <t xml:space="preserve">Налоги на имущество
</t>
  </si>
  <si>
    <t xml:space="preserve">ЗАДОЛЖЕННОСТЬ И ПЕРЕРАСЧЕТЫ ПО ОТМЕНЕННЫМ НАЛОГАМ, СБОРАМ И ИНЫМ ОБЯЗАТЕЛЬНЫМ ПЛАТЕЖАМ
</t>
  </si>
  <si>
    <t>03 1 7013</t>
  </si>
  <si>
    <t>Ремонт дворовых территорий многоквартирных домов</t>
  </si>
  <si>
    <t xml:space="preserve"> -  ремонт теплотрассы  от ТК д.1 по ул. Ленинградская до ТК д. 24 мкр. "В"  и участка теплотрассы (переход под дорогой) по ул. Суворова</t>
  </si>
  <si>
    <t>Субсидии на обеспечение выплат стимулирующего характера работникам муниципальных учреждений культуры</t>
  </si>
  <si>
    <t>68 9 7212</t>
  </si>
  <si>
    <t>01 2 7026</t>
  </si>
  <si>
    <t xml:space="preserve"> - подготовка и проведение мероприятий, посвященных Дню образования ЛО</t>
  </si>
  <si>
    <t>Ремент теплотрассы за счет средств резервного фонда Правительства ЛО</t>
  </si>
  <si>
    <t xml:space="preserve">Социальные выплаты гражданам, кроме публичных нормативных социальных выплат
</t>
  </si>
  <si>
    <t xml:space="preserve">Реализация проектов местных инициатив граждан </t>
  </si>
  <si>
    <t>Субсидии  на мероприятия, направленные безаварийную работу объектов водоснабжения и водоотведения</t>
  </si>
  <si>
    <t>Средства резервного фонда ВМР</t>
  </si>
  <si>
    <t>68 9 6066</t>
  </si>
  <si>
    <t>Ремонт дорог за счет средств резервного фонда ЛО</t>
  </si>
  <si>
    <t xml:space="preserve"> -  ремонт дюкера (средства резервного фонда ВМР)</t>
  </si>
  <si>
    <t xml:space="preserve"> - ремонт автомобильных дорог</t>
  </si>
  <si>
    <t>Субсидии на софинансирование части затрат, связанных с уплатой очередных лизинговых платежей по договору лизинга (сублизинга)</t>
  </si>
  <si>
    <t>68 9 6002</t>
  </si>
  <si>
    <t xml:space="preserve">Дорожное хозяйство </t>
  </si>
  <si>
    <t>Ремот дюкера за счет резервного фонда ВМР</t>
  </si>
  <si>
    <t>Приобретение в лизинг коммунальной техники за счет средств областного бюджета</t>
  </si>
  <si>
    <t>НАЛОГИ НА ТОВАРЫ (РАБОТЫ, УСЛУГИ), РЕАЛИЗУЕМЫЕ НА ТЕРРИТОРИИ РОССИЙСКОЙ ФЕДЕРАЦИИ</t>
  </si>
  <si>
    <t>1 06 06033 13 0000 110</t>
  </si>
  <si>
    <t>1 06 06043 13 0000 110</t>
  </si>
  <si>
    <t>68 9 1019</t>
  </si>
  <si>
    <t xml:space="preserve">Установка  предупреждающих дорожных знаков, «Лежачих полицейских», ограждений, устройство дорожной разметки и освещения пешеходных переходов     </t>
  </si>
  <si>
    <t xml:space="preserve">Земельный налог с физических лиц, обладающих земельным участком, расположенным в границах городских поселений
</t>
  </si>
  <si>
    <t xml:space="preserve">Установка  предупреждающих дорожных знаков, «Лежачих полицейских», ограждений, устройство дорожной разметки и освещения пешеходных переходов     в рамках подпрограммы "Повышение безопасности дорожного движения и снижение дорожно-транспортного травматизма </t>
  </si>
  <si>
    <t>Водоотведение  по ул. Ленинградская д.15 рамках подпрограммы "Подготовка объектов и систем жизнеобеспечения на территории МО Новоладожское городское поселение к работе в осенне-зимний период на 2014-2015гг" муниципальной программы "Комплексное развитие систем жилищно - коммунальной инфраструктуры  на территории МО Новоладожское городское поселение на 2014-2015 годы"</t>
  </si>
  <si>
    <t xml:space="preserve">тыс. руб. </t>
  </si>
  <si>
    <t>Утверждено</t>
  </si>
  <si>
    <t>Исполнено</t>
  </si>
  <si>
    <t>тыс. руб.</t>
  </si>
  <si>
    <t xml:space="preserve">Земельный налог с организаций, обладающих земельным участком, расположенным в границах городских поселений
Земельный налог с физических лиц, обладающих земельным участком, расположенным в границах городских поселений
</t>
  </si>
  <si>
    <t xml:space="preserve">Исполнение безвозмездных поступлений бюджета муниципального образования Новоладожское городское поселение Волховского муниципального района Ленинградской области за 2015 год               </t>
  </si>
  <si>
    <t>% исполнения</t>
  </si>
  <si>
    <t>Возврат остатков субсидий, субвенций и иных межбюджетных трансфертов, имеющих  целевое занчение, прошлых лет из бюджетов городских поселений</t>
  </si>
  <si>
    <t>(приложение 4)</t>
  </si>
  <si>
    <t xml:space="preserve">(приложение 6) </t>
  </si>
  <si>
    <t xml:space="preserve">(приложение 5 )   </t>
  </si>
  <si>
    <t>гл.адм</t>
  </si>
  <si>
    <t>Исполнение бюджета по ведомственной структуре расходов МО Новоладожского городского поселения  за 2015 год</t>
  </si>
  <si>
    <t xml:space="preserve">(приложение 7) </t>
  </si>
  <si>
    <t>Источники внутреннего финансирования дефицита  бюджета муниципального образования Новоладожское городское поселение Волховского муниципального района Ленинградской области за 2015 год по кодам классификации источников финансирования дефицитов бюджетов</t>
  </si>
  <si>
    <t>Исполнение  доходов бюджета муниципального образования Новоладожское городское поселение Волховского муниципального района Ленинградской области за 2015 год по кодам видов доходов, подвидов доходов, классификации государственного управления. Относящихся к дохлдам бюджетов</t>
  </si>
  <si>
    <t>Исполнение расходов бюджета МО Новоладожское городское поселение  по разделам, подразделам классификации расходов бюджета за 2015 год</t>
  </si>
  <si>
    <t>Исполнение бюджета МО Новоладожское городское поселение по целевым статьям (муниципальным программам и непрограммным направлениям деятельности), группам и подгруппам видов расходов, а также по разделам и подразделам классификации расходов бюджетов за 2015 год</t>
  </si>
  <si>
    <t>Исполнение бюджета МО Новоладожское городское поселение по разделам и подразделам, целевым статьям (муниципальным программам МО Новоладожского городского поселения и непрограммным направлениям деятельности), группам и подгруппам видов расходов классификации расходов бюджета за 2015 год</t>
  </si>
  <si>
    <t>от 28 апреля 2016 года № 27</t>
  </si>
  <si>
    <t>от 28 апреля    2016 года № 27</t>
  </si>
  <si>
    <t>28 апреля 2016год № 27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</si>
</sst>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&quot;р.&quot;"/>
    <numFmt numFmtId="174" formatCode="0.0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00"/>
    <numFmt numFmtId="181" formatCode="#,##0.0000"/>
    <numFmt numFmtId="182" formatCode="#,##0.0000000"/>
    <numFmt numFmtId="183" formatCode="#,##0.00_р_."/>
    <numFmt numFmtId="184" formatCode="000000"/>
    <numFmt numFmtId="185" formatCode="_-* #,##0.0_р_._-;\-* #,##0.0_р_._-;_-* &quot;-&quot;??_р_._-;_-@_-"/>
    <numFmt numFmtId="186" formatCode="_-* #,##0.0_р_._-;\-* #,##0.0_р_._-;_-* &quot;-&quot;?_р_._-;_-@_-"/>
    <numFmt numFmtId="187" formatCode="?"/>
    <numFmt numFmtId="188" formatCode="_-* #,##0.000_р_._-;\-* #,##0.000_р_._-;_-* &quot;-&quot;??_р_._-;_-@_-"/>
    <numFmt numFmtId="189" formatCode="_-* #,##0.0000_р_._-;\-* #,##0.0000_р_._-;_-* &quot;-&quot;??_р_._-;_-@_-"/>
    <numFmt numFmtId="190" formatCode="_-* #,##0.00000_р_._-;\-* #,##0.00000_р_._-;_-* &quot;-&quot;??_р_._-;_-@_-"/>
    <numFmt numFmtId="191" formatCode="_-* #,##0.000000_р_._-;\-* #,##0.000000_р_._-;_-* &quot;-&quot;??_р_._-;_-@_-"/>
    <numFmt numFmtId="192" formatCode="_-* #,##0.0000000_р_._-;\-* #,##0.0000000_р_._-;_-* &quot;-&quot;??_р_._-;_-@_-"/>
    <numFmt numFmtId="193" formatCode="_-* #,##0.00000000_р_._-;\-* #,##0.00000000_р_._-;_-* &quot;-&quot;??_р_._-;_-@_-"/>
    <numFmt numFmtId="194" formatCode="_-* #,##0.00000_р_._-;\-* #,##0.00000_р_._-;_-* &quot;-&quot;?????_р_._-;_-@_-"/>
    <numFmt numFmtId="195" formatCode="_-* #,##0.0000000_р_._-;\-* #,##0.0000000_р_._-;_-* &quot;-&quot;???????_р_._-;_-@_-"/>
    <numFmt numFmtId="196" formatCode="_-* #,##0.000000000_р_._-;\-* #,##0.000000000_р_._-;_-* &quot;-&quot;??_р_._-;_-@_-"/>
    <numFmt numFmtId="197" formatCode="_-* #,##0.0000000000_р_._-;\-* #,##0.0000000000_р_._-;_-* &quot;-&quot;??_р_._-;_-@_-"/>
    <numFmt numFmtId="198" formatCode="_-* #,##0.00000000000_р_._-;\-* #,##0.00000000000_р_._-;_-* &quot;-&quot;??_р_._-;_-@_-"/>
    <numFmt numFmtId="199" formatCode="_-* #,##0.0000_р_._-;\-* #,##0.0000_р_._-;_-* &quot;-&quot;????_р_._-;_-@_-"/>
    <numFmt numFmtId="200" formatCode="_-* #,##0.0000000000_р_._-;\-* #,##0.0000000000_р_._-;_-* &quot;-&quot;??????????_р_._-;_-@_-"/>
    <numFmt numFmtId="201" formatCode="#,##0.000"/>
    <numFmt numFmtId="202" formatCode="#,##0.000000"/>
    <numFmt numFmtId="203" formatCode="#,##0.00000000"/>
    <numFmt numFmtId="204" formatCode="#,##0.000000000"/>
    <numFmt numFmtId="205" formatCode="#,##0.0000000000"/>
    <numFmt numFmtId="206" formatCode="#,##0.00000000000"/>
    <numFmt numFmtId="207" formatCode="#,##0.000000000000"/>
    <numFmt numFmtId="208" formatCode="#,##0.0000000000000"/>
    <numFmt numFmtId="209" formatCode="_-* #,##0_р_._-;\-* #,##0_р_._-;_-* &quot;-&quot;??_р_._-;_-@_-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 Cyr"/>
      <family val="0"/>
    </font>
    <font>
      <sz val="13"/>
      <name val="Arial Cyr"/>
      <family val="0"/>
    </font>
    <font>
      <b/>
      <sz val="12"/>
      <name val="Arial Cyr"/>
      <family val="0"/>
    </font>
    <font>
      <b/>
      <sz val="14"/>
      <name val="Arial Cyr"/>
      <family val="2"/>
    </font>
    <font>
      <b/>
      <sz val="13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1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1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2"/>
      <color indexed="8"/>
      <name val="Times New Roman"/>
      <family val="1"/>
    </font>
    <font>
      <sz val="10"/>
      <color indexed="10"/>
      <name val="Calibri"/>
      <family val="2"/>
    </font>
    <font>
      <sz val="10"/>
      <color indexed="10"/>
      <name val="Times New Roman"/>
      <family val="1"/>
    </font>
    <font>
      <b/>
      <sz val="13"/>
      <color indexed="8"/>
      <name val="Times New Roman"/>
      <family val="1"/>
    </font>
    <font>
      <b/>
      <sz val="10"/>
      <color indexed="10"/>
      <name val="Calibri"/>
      <family val="2"/>
    </font>
    <font>
      <b/>
      <sz val="10"/>
      <color indexed="10"/>
      <name val="Arial Cyr"/>
      <family val="0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1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1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FF0000"/>
      <name val="Calibri"/>
      <family val="2"/>
    </font>
    <font>
      <sz val="10"/>
      <color rgb="FFFF0000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Calibri"/>
      <family val="2"/>
    </font>
    <font>
      <b/>
      <sz val="10"/>
      <color rgb="FFFF0000"/>
      <name val="Arial Cyr"/>
      <family val="0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2FE7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433">
    <xf numFmtId="0" fontId="0" fillId="0" borderId="0" xfId="0" applyFont="1" applyAlignment="1">
      <alignment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0" fontId="10" fillId="0" borderId="0" xfId="53" applyFont="1" applyFill="1" applyAlignment="1">
      <alignment vertical="center"/>
      <protection/>
    </xf>
    <xf numFmtId="0" fontId="10" fillId="0" borderId="11" xfId="0" applyFont="1" applyFill="1" applyBorder="1" applyAlignment="1">
      <alignment horizontal="left" vertical="center" wrapText="1"/>
    </xf>
    <xf numFmtId="0" fontId="10" fillId="0" borderId="0" xfId="53" applyFont="1" applyAlignment="1">
      <alignment vertical="center"/>
      <protection/>
    </xf>
    <xf numFmtId="0" fontId="11" fillId="0" borderId="0" xfId="53" applyFont="1" applyAlignment="1">
      <alignment vertical="center"/>
      <protection/>
    </xf>
    <xf numFmtId="0" fontId="13" fillId="0" borderId="0" xfId="53" applyFont="1" applyAlignment="1">
      <alignment horizontal="center" vertical="center"/>
      <protection/>
    </xf>
    <xf numFmtId="49" fontId="10" fillId="0" borderId="0" xfId="53" applyNumberFormat="1" applyFont="1" applyAlignment="1">
      <alignment vertical="center"/>
      <protection/>
    </xf>
    <xf numFmtId="0" fontId="77" fillId="0" borderId="0" xfId="0" applyFont="1" applyFill="1" applyAlignment="1">
      <alignment/>
    </xf>
    <xf numFmtId="0" fontId="77" fillId="0" borderId="0" xfId="0" applyFont="1" applyFill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 wrapText="1"/>
    </xf>
    <xf numFmtId="49" fontId="15" fillId="0" borderId="10" xfId="53" applyNumberFormat="1" applyFont="1" applyFill="1" applyBorder="1" applyAlignment="1">
      <alignment horizontal="center" vertical="center" wrapText="1"/>
      <protection/>
    </xf>
    <xf numFmtId="0" fontId="77" fillId="0" borderId="0" xfId="0" applyFont="1" applyFill="1" applyAlignment="1">
      <alignment vertical="center"/>
    </xf>
    <xf numFmtId="49" fontId="12" fillId="0" borderId="11" xfId="0" applyNumberFormat="1" applyFont="1" applyFill="1" applyBorder="1" applyAlignment="1">
      <alignment horizontal="left" vertical="center" wrapText="1"/>
    </xf>
    <xf numFmtId="0" fontId="16" fillId="0" borderId="0" xfId="0" applyFont="1" applyFill="1" applyAlignment="1">
      <alignment vertical="center"/>
    </xf>
    <xf numFmtId="173" fontId="12" fillId="0" borderId="11" xfId="0" applyNumberFormat="1" applyFont="1" applyFill="1" applyBorder="1" applyAlignment="1">
      <alignment horizontal="left" vertical="top" wrapText="1"/>
    </xf>
    <xf numFmtId="0" fontId="17" fillId="0" borderId="0" xfId="0" applyFont="1" applyFill="1" applyAlignment="1">
      <alignment horizontal="left"/>
    </xf>
    <xf numFmtId="2" fontId="10" fillId="0" borderId="11" xfId="0" applyNumberFormat="1" applyFont="1" applyFill="1" applyBorder="1" applyAlignment="1">
      <alignment horizontal="left" vertical="top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77" fillId="0" borderId="0" xfId="0" applyFont="1" applyFill="1" applyAlignment="1">
      <alignment horizontal="left"/>
    </xf>
    <xf numFmtId="11" fontId="10" fillId="0" borderId="11" xfId="0" applyNumberFormat="1" applyFont="1" applyFill="1" applyBorder="1" applyAlignment="1">
      <alignment horizontal="left" vertical="top" wrapText="1"/>
    </xf>
    <xf numFmtId="173" fontId="10" fillId="0" borderId="11" xfId="0" applyNumberFormat="1" applyFont="1" applyFill="1" applyBorder="1" applyAlignment="1">
      <alignment horizontal="left" vertical="top" wrapText="1"/>
    </xf>
    <xf numFmtId="49" fontId="10" fillId="0" borderId="10" xfId="53" applyNumberFormat="1" applyFont="1" applyFill="1" applyBorder="1" applyAlignment="1">
      <alignment horizontal="center" vertical="center" wrapText="1"/>
      <protection/>
    </xf>
    <xf numFmtId="0" fontId="18" fillId="0" borderId="0" xfId="0" applyFont="1" applyFill="1" applyAlignment="1">
      <alignment horizontal="left"/>
    </xf>
    <xf numFmtId="0" fontId="8" fillId="0" borderId="11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49" fontId="78" fillId="0" borderId="13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left" vertical="center" wrapText="1"/>
    </xf>
    <xf numFmtId="0" fontId="79" fillId="0" borderId="11" xfId="0" applyFont="1" applyFill="1" applyBorder="1" applyAlignment="1">
      <alignment vertical="center" wrapText="1"/>
    </xf>
    <xf numFmtId="49" fontId="12" fillId="0" borderId="13" xfId="0" applyNumberFormat="1" applyFont="1" applyFill="1" applyBorder="1" applyAlignment="1">
      <alignment horizontal="center" vertical="center"/>
    </xf>
    <xf numFmtId="49" fontId="78" fillId="0" borderId="11" xfId="0" applyNumberFormat="1" applyFont="1" applyFill="1" applyBorder="1" applyAlignment="1">
      <alignment horizontal="center" vertical="center"/>
    </xf>
    <xf numFmtId="0" fontId="80" fillId="0" borderId="11" xfId="0" applyFont="1" applyFill="1" applyBorder="1" applyAlignment="1">
      <alignment horizontal="center" vertical="center"/>
    </xf>
    <xf numFmtId="49" fontId="79" fillId="0" borderId="13" xfId="0" applyNumberFormat="1" applyFont="1" applyFill="1" applyBorder="1" applyAlignment="1">
      <alignment horizontal="center" vertical="center"/>
    </xf>
    <xf numFmtId="0" fontId="78" fillId="0" borderId="11" xfId="0" applyFont="1" applyFill="1" applyBorder="1" applyAlignment="1">
      <alignment vertical="center" wrapText="1"/>
    </xf>
    <xf numFmtId="0" fontId="79" fillId="0" borderId="11" xfId="0" applyFont="1" applyFill="1" applyBorder="1" applyAlignment="1">
      <alignment vertical="center"/>
    </xf>
    <xf numFmtId="0" fontId="78" fillId="0" borderId="11" xfId="0" applyFont="1" applyFill="1" applyBorder="1" applyAlignment="1">
      <alignment vertical="center"/>
    </xf>
    <xf numFmtId="0" fontId="77" fillId="0" borderId="11" xfId="0" applyFont="1" applyFill="1" applyBorder="1" applyAlignment="1">
      <alignment vertical="center"/>
    </xf>
    <xf numFmtId="0" fontId="80" fillId="0" borderId="11" xfId="0" applyFont="1" applyFill="1" applyBorder="1" applyAlignment="1">
      <alignment vertical="center"/>
    </xf>
    <xf numFmtId="49" fontId="79" fillId="0" borderId="11" xfId="0" applyNumberFormat="1" applyFont="1" applyFill="1" applyBorder="1" applyAlignment="1">
      <alignment horizontal="center" vertical="center"/>
    </xf>
    <xf numFmtId="0" fontId="78" fillId="0" borderId="13" xfId="0" applyFont="1" applyFill="1" applyBorder="1" applyAlignment="1">
      <alignment vertical="center" wrapText="1"/>
    </xf>
    <xf numFmtId="0" fontId="18" fillId="0" borderId="0" xfId="0" applyFont="1" applyFill="1" applyAlignment="1">
      <alignment/>
    </xf>
    <xf numFmtId="0" fontId="80" fillId="0" borderId="0" xfId="0" applyFont="1" applyFill="1" applyAlignment="1">
      <alignment/>
    </xf>
    <xf numFmtId="0" fontId="12" fillId="0" borderId="11" xfId="0" applyFont="1" applyFill="1" applyBorder="1" applyAlignment="1">
      <alignment horizontal="center" vertical="center" wrapText="1"/>
    </xf>
    <xf numFmtId="49" fontId="12" fillId="0" borderId="10" xfId="53" applyNumberFormat="1" applyFont="1" applyFill="1" applyBorder="1" applyAlignment="1">
      <alignment horizontal="center" vertical="center" wrapText="1"/>
      <protection/>
    </xf>
    <xf numFmtId="0" fontId="16" fillId="0" borderId="0" xfId="0" applyFont="1" applyFill="1" applyAlignment="1">
      <alignment horizontal="left"/>
    </xf>
    <xf numFmtId="0" fontId="80" fillId="0" borderId="0" xfId="0" applyFont="1" applyFill="1" applyAlignment="1">
      <alignment horizontal="left"/>
    </xf>
    <xf numFmtId="0" fontId="16" fillId="0" borderId="0" xfId="0" applyFont="1" applyFill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80" fillId="0" borderId="0" xfId="0" applyFont="1" applyFill="1" applyAlignment="1">
      <alignment horizontal="left" vertical="center"/>
    </xf>
    <xf numFmtId="0" fontId="80" fillId="0" borderId="0" xfId="0" applyFont="1" applyFill="1" applyAlignment="1">
      <alignment horizontal="center" vertical="center"/>
    </xf>
    <xf numFmtId="0" fontId="10" fillId="0" borderId="11" xfId="0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67" fillId="0" borderId="0" xfId="0" applyFont="1" applyFill="1" applyAlignment="1">
      <alignment horizontal="left"/>
    </xf>
    <xf numFmtId="49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center" vertical="center"/>
    </xf>
    <xf numFmtId="0" fontId="81" fillId="0" borderId="11" xfId="0" applyFont="1" applyFill="1" applyBorder="1" applyAlignment="1">
      <alignment vertical="center" wrapText="1"/>
    </xf>
    <xf numFmtId="49" fontId="81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67" fillId="0" borderId="0" xfId="0" applyFont="1" applyFill="1" applyAlignment="1">
      <alignment/>
    </xf>
    <xf numFmtId="0" fontId="3" fillId="0" borderId="14" xfId="53" applyFont="1" applyFill="1" applyBorder="1" applyAlignment="1">
      <alignment vertical="center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17" fillId="0" borderId="0" xfId="0" applyFont="1" applyFill="1" applyAlignment="1">
      <alignment vertical="center"/>
    </xf>
    <xf numFmtId="0" fontId="20" fillId="0" borderId="0" xfId="0" applyFont="1" applyFill="1" applyAlignment="1">
      <alignment horizontal="left"/>
    </xf>
    <xf numFmtId="49" fontId="4" fillId="0" borderId="10" xfId="53" applyNumberFormat="1" applyFont="1" applyFill="1" applyBorder="1" applyAlignment="1">
      <alignment horizontal="left" vertical="center" wrapText="1"/>
      <protection/>
    </xf>
    <xf numFmtId="0" fontId="3" fillId="0" borderId="11" xfId="0" applyFont="1" applyFill="1" applyBorder="1" applyAlignment="1">
      <alignment horizontal="left" wrapText="1"/>
    </xf>
    <xf numFmtId="11" fontId="12" fillId="0" borderId="11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82" fillId="0" borderId="0" xfId="0" applyFont="1" applyFill="1" applyAlignment="1">
      <alignment wrapText="1"/>
    </xf>
    <xf numFmtId="0" fontId="10" fillId="0" borderId="0" xfId="53" applyFont="1" applyFill="1" applyBorder="1" applyAlignment="1">
      <alignment vertical="center" wrapText="1"/>
      <protection/>
    </xf>
    <xf numFmtId="4" fontId="10" fillId="0" borderId="0" xfId="53" applyNumberFormat="1" applyFont="1" applyAlignment="1">
      <alignment horizontal="right" vertical="center"/>
      <protection/>
    </xf>
    <xf numFmtId="0" fontId="5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49" fontId="8" fillId="0" borderId="15" xfId="53" applyNumberFormat="1" applyFont="1" applyFill="1" applyBorder="1" applyAlignment="1">
      <alignment horizontal="center" vertical="center" wrapText="1"/>
      <protection/>
    </xf>
    <xf numFmtId="0" fontId="10" fillId="0" borderId="14" xfId="53" applyFont="1" applyFill="1" applyBorder="1" applyAlignment="1">
      <alignment vertical="center"/>
      <protection/>
    </xf>
    <xf numFmtId="49" fontId="12" fillId="0" borderId="13" xfId="0" applyNumberFormat="1" applyFont="1" applyFill="1" applyBorder="1" applyAlignment="1">
      <alignment horizontal="left" vertical="center" wrapText="1"/>
    </xf>
    <xf numFmtId="49" fontId="12" fillId="0" borderId="15" xfId="0" applyNumberFormat="1" applyFont="1" applyFill="1" applyBorder="1" applyAlignment="1">
      <alignment horizontal="center" vertical="center" wrapText="1"/>
    </xf>
    <xf numFmtId="49" fontId="15" fillId="0" borderId="15" xfId="53" applyNumberFormat="1" applyFont="1" applyFill="1" applyBorder="1" applyAlignment="1">
      <alignment horizontal="center" vertical="center" wrapText="1"/>
      <protection/>
    </xf>
    <xf numFmtId="0" fontId="19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3" fillId="0" borderId="11" xfId="53" applyFont="1" applyFill="1" applyBorder="1" applyAlignment="1">
      <alignment vertical="center"/>
      <protection/>
    </xf>
    <xf numFmtId="49" fontId="15" fillId="0" borderId="11" xfId="53" applyNumberFormat="1" applyFont="1" applyFill="1" applyBorder="1" applyAlignment="1">
      <alignment horizontal="center" vertical="center" wrapText="1"/>
      <protection/>
    </xf>
    <xf numFmtId="0" fontId="83" fillId="0" borderId="11" xfId="0" applyFont="1" applyFill="1" applyBorder="1" applyAlignment="1">
      <alignment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83" fillId="0" borderId="13" xfId="0" applyNumberFormat="1" applyFont="1" applyFill="1" applyBorder="1" applyAlignment="1">
      <alignment horizontal="center" vertical="center"/>
    </xf>
    <xf numFmtId="0" fontId="83" fillId="0" borderId="11" xfId="0" applyFont="1" applyFill="1" applyBorder="1" applyAlignment="1">
      <alignment vertical="center"/>
    </xf>
    <xf numFmtId="49" fontId="22" fillId="0" borderId="10" xfId="53" applyNumberFormat="1" applyFont="1" applyFill="1" applyBorder="1" applyAlignment="1">
      <alignment horizontal="center" vertical="center" wrapText="1"/>
      <protection/>
    </xf>
    <xf numFmtId="49" fontId="21" fillId="0" borderId="11" xfId="0" applyNumberFormat="1" applyFont="1" applyFill="1" applyBorder="1" applyAlignment="1">
      <alignment horizontal="center" vertical="center" wrapText="1"/>
    </xf>
    <xf numFmtId="0" fontId="10" fillId="0" borderId="16" xfId="53" applyFont="1" applyFill="1" applyBorder="1" applyAlignment="1">
      <alignment vertical="center" wrapText="1"/>
      <protection/>
    </xf>
    <xf numFmtId="0" fontId="10" fillId="0" borderId="17" xfId="53" applyFont="1" applyFill="1" applyBorder="1" applyAlignment="1">
      <alignment vertical="center"/>
      <protection/>
    </xf>
    <xf numFmtId="0" fontId="10" fillId="0" borderId="18" xfId="53" applyFont="1" applyFill="1" applyBorder="1" applyAlignment="1">
      <alignment vertical="center"/>
      <protection/>
    </xf>
    <xf numFmtId="0" fontId="10" fillId="0" borderId="16" xfId="53" applyFont="1" applyFill="1" applyBorder="1" applyAlignment="1">
      <alignment vertical="center"/>
      <protection/>
    </xf>
    <xf numFmtId="0" fontId="10" fillId="0" borderId="19" xfId="53" applyFont="1" applyFill="1" applyBorder="1" applyAlignment="1">
      <alignment horizontal="left" vertical="center"/>
      <protection/>
    </xf>
    <xf numFmtId="0" fontId="10" fillId="0" borderId="19" xfId="53" applyFont="1" applyFill="1" applyBorder="1" applyAlignment="1">
      <alignment vertical="center"/>
      <protection/>
    </xf>
    <xf numFmtId="0" fontId="10" fillId="0" borderId="16" xfId="53" applyFont="1" applyFill="1" applyBorder="1" applyAlignment="1">
      <alignment horizontal="left" vertical="center"/>
      <protection/>
    </xf>
    <xf numFmtId="0" fontId="8" fillId="0" borderId="0" xfId="0" applyFont="1" applyFill="1" applyBorder="1" applyAlignment="1">
      <alignment horizontal="center" vertical="center" wrapText="1"/>
    </xf>
    <xf numFmtId="49" fontId="8" fillId="0" borderId="0" xfId="53" applyNumberFormat="1" applyFont="1" applyFill="1" applyBorder="1" applyAlignment="1">
      <alignment horizontal="center" vertical="center" wrapText="1"/>
      <protection/>
    </xf>
    <xf numFmtId="49" fontId="10" fillId="0" borderId="0" xfId="0" applyNumberFormat="1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/>
    </xf>
    <xf numFmtId="0" fontId="10" fillId="33" borderId="12" xfId="0" applyFont="1" applyFill="1" applyBorder="1" applyAlignment="1">
      <alignment horizontal="left" vertical="center" wrapText="1"/>
    </xf>
    <xf numFmtId="173" fontId="10" fillId="0" borderId="20" xfId="0" applyNumberFormat="1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left" vertical="center" wrapText="1"/>
    </xf>
    <xf numFmtId="49" fontId="78" fillId="0" borderId="15" xfId="0" applyNumberFormat="1" applyFont="1" applyFill="1" applyBorder="1" applyAlignment="1">
      <alignment horizontal="center" vertical="center"/>
    </xf>
    <xf numFmtId="43" fontId="10" fillId="0" borderId="11" xfId="63" applyNumberFormat="1" applyFont="1" applyFill="1" applyBorder="1" applyAlignment="1">
      <alignment horizontal="center" vertical="center" wrapText="1"/>
    </xf>
    <xf numFmtId="43" fontId="8" fillId="0" borderId="0" xfId="63" applyNumberFormat="1" applyFont="1" applyFill="1" applyAlignment="1">
      <alignment horizontal="center" vertical="center"/>
    </xf>
    <xf numFmtId="43" fontId="12" fillId="0" borderId="11" xfId="63" applyNumberFormat="1" applyFont="1" applyFill="1" applyBorder="1" applyAlignment="1">
      <alignment horizontal="center" vertical="center" wrapText="1"/>
    </xf>
    <xf numFmtId="43" fontId="78" fillId="0" borderId="11" xfId="63" applyNumberFormat="1" applyFont="1" applyFill="1" applyBorder="1" applyAlignment="1">
      <alignment horizontal="center" vertical="center"/>
    </xf>
    <xf numFmtId="43" fontId="8" fillId="0" borderId="11" xfId="63" applyNumberFormat="1" applyFont="1" applyFill="1" applyBorder="1" applyAlignment="1">
      <alignment horizontal="center" vertical="center" wrapText="1"/>
    </xf>
    <xf numFmtId="43" fontId="15" fillId="0" borderId="11" xfId="63" applyNumberFormat="1" applyFont="1" applyFill="1" applyBorder="1" applyAlignment="1">
      <alignment horizontal="center" vertical="center" wrapText="1"/>
    </xf>
    <xf numFmtId="43" fontId="84" fillId="0" borderId="0" xfId="63" applyNumberFormat="1" applyFont="1" applyFill="1" applyAlignment="1">
      <alignment horizontal="center" vertical="center"/>
    </xf>
    <xf numFmtId="43" fontId="16" fillId="0" borderId="0" xfId="63" applyNumberFormat="1" applyFont="1" applyFill="1" applyAlignment="1">
      <alignment horizontal="center" vertical="center"/>
    </xf>
    <xf numFmtId="43" fontId="10" fillId="0" borderId="0" xfId="63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173" fontId="10" fillId="0" borderId="11" xfId="0" applyNumberFormat="1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/>
    </xf>
    <xf numFmtId="43" fontId="19" fillId="0" borderId="0" xfId="0" applyNumberFormat="1" applyFont="1" applyFill="1" applyAlignment="1">
      <alignment/>
    </xf>
    <xf numFmtId="43" fontId="18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center" vertical="center"/>
    </xf>
    <xf numFmtId="0" fontId="10" fillId="33" borderId="11" xfId="0" applyNumberFormat="1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10" fillId="0" borderId="12" xfId="53" applyFont="1" applyFill="1" applyBorder="1" applyAlignment="1">
      <alignment vertical="center"/>
      <protection/>
    </xf>
    <xf numFmtId="0" fontId="10" fillId="0" borderId="12" xfId="53" applyFont="1" applyFill="1" applyBorder="1" applyAlignment="1">
      <alignment vertical="center" wrapText="1"/>
      <protection/>
    </xf>
    <xf numFmtId="0" fontId="10" fillId="0" borderId="21" xfId="53" applyFont="1" applyFill="1" applyBorder="1" applyAlignment="1">
      <alignment vertical="center"/>
      <protection/>
    </xf>
    <xf numFmtId="0" fontId="10" fillId="0" borderId="21" xfId="53" applyFont="1" applyFill="1" applyBorder="1" applyAlignment="1">
      <alignment vertical="center" wrapText="1"/>
      <protection/>
    </xf>
    <xf numFmtId="0" fontId="5" fillId="0" borderId="14" xfId="53" applyFont="1" applyFill="1" applyBorder="1" applyAlignment="1">
      <alignment vertical="center"/>
      <protection/>
    </xf>
    <xf numFmtId="184" fontId="12" fillId="0" borderId="11" xfId="0" applyNumberFormat="1" applyFont="1" applyFill="1" applyBorder="1" applyAlignment="1">
      <alignment horizontal="left" vertical="center" wrapText="1"/>
    </xf>
    <xf numFmtId="43" fontId="8" fillId="0" borderId="0" xfId="63" applyNumberFormat="1" applyFont="1" applyFill="1" applyAlignment="1">
      <alignment horizontal="right" vertical="center"/>
    </xf>
    <xf numFmtId="43" fontId="10" fillId="0" borderId="0" xfId="53" applyNumberFormat="1" applyFont="1" applyFill="1" applyAlignment="1">
      <alignment horizontal="right" vertical="center"/>
      <protection/>
    </xf>
    <xf numFmtId="43" fontId="8" fillId="0" borderId="0" xfId="63" applyNumberFormat="1" applyFont="1" applyFill="1" applyAlignment="1">
      <alignment vertical="center"/>
    </xf>
    <xf numFmtId="43" fontId="16" fillId="0" borderId="0" xfId="63" applyNumberFormat="1" applyFont="1" applyFill="1" applyAlignment="1">
      <alignment vertical="center"/>
    </xf>
    <xf numFmtId="43" fontId="12" fillId="0" borderId="11" xfId="63" applyNumberFormat="1" applyFont="1" applyFill="1" applyBorder="1" applyAlignment="1">
      <alignment vertical="center" wrapText="1"/>
    </xf>
    <xf numFmtId="43" fontId="3" fillId="0" borderId="11" xfId="63" applyNumberFormat="1" applyFont="1" applyFill="1" applyBorder="1" applyAlignment="1">
      <alignment vertical="center" wrapText="1"/>
    </xf>
    <xf numFmtId="43" fontId="4" fillId="0" borderId="11" xfId="63" applyNumberFormat="1" applyFont="1" applyFill="1" applyBorder="1" applyAlignment="1">
      <alignment vertical="center" wrapText="1"/>
    </xf>
    <xf numFmtId="43" fontId="15" fillId="0" borderId="11" xfId="63" applyNumberFormat="1" applyFont="1" applyFill="1" applyBorder="1" applyAlignment="1">
      <alignment vertical="center" wrapText="1"/>
    </xf>
    <xf numFmtId="43" fontId="8" fillId="0" borderId="11" xfId="63" applyNumberFormat="1" applyFont="1" applyFill="1" applyBorder="1" applyAlignment="1">
      <alignment vertical="center" wrapText="1"/>
    </xf>
    <xf numFmtId="43" fontId="10" fillId="0" borderId="11" xfId="63" applyNumberFormat="1" applyFont="1" applyFill="1" applyBorder="1" applyAlignment="1">
      <alignment vertical="center" wrapText="1"/>
    </xf>
    <xf numFmtId="43" fontId="3" fillId="0" borderId="11" xfId="63" applyNumberFormat="1" applyFont="1" applyFill="1" applyBorder="1" applyAlignment="1">
      <alignment vertical="center"/>
    </xf>
    <xf numFmtId="43" fontId="81" fillId="0" borderId="11" xfId="63" applyNumberFormat="1" applyFont="1" applyFill="1" applyBorder="1" applyAlignment="1">
      <alignment vertical="center"/>
    </xf>
    <xf numFmtId="43" fontId="78" fillId="0" borderId="11" xfId="63" applyNumberFormat="1" applyFont="1" applyFill="1" applyBorder="1" applyAlignment="1">
      <alignment vertical="center"/>
    </xf>
    <xf numFmtId="43" fontId="79" fillId="0" borderId="11" xfId="63" applyNumberFormat="1" applyFont="1" applyFill="1" applyBorder="1" applyAlignment="1">
      <alignment vertical="center"/>
    </xf>
    <xf numFmtId="43" fontId="83" fillId="0" borderId="11" xfId="63" applyNumberFormat="1" applyFont="1" applyFill="1" applyBorder="1" applyAlignment="1">
      <alignment vertical="center"/>
    </xf>
    <xf numFmtId="43" fontId="18" fillId="0" borderId="0" xfId="63" applyNumberFormat="1" applyFont="1" applyFill="1" applyAlignment="1">
      <alignment vertical="center"/>
    </xf>
    <xf numFmtId="0" fontId="2" fillId="0" borderId="0" xfId="53" applyAlignment="1">
      <alignment vertical="center"/>
      <protection/>
    </xf>
    <xf numFmtId="0" fontId="27" fillId="0" borderId="0" xfId="53" applyFont="1" applyAlignment="1">
      <alignment vertical="center"/>
      <protection/>
    </xf>
    <xf numFmtId="0" fontId="13" fillId="0" borderId="0" xfId="53" applyFont="1" applyAlignment="1">
      <alignment vertical="center"/>
      <protection/>
    </xf>
    <xf numFmtId="0" fontId="13" fillId="0" borderId="22" xfId="53" applyFont="1" applyBorder="1" applyAlignment="1">
      <alignment horizontal="center" vertical="center"/>
      <protection/>
    </xf>
    <xf numFmtId="0" fontId="13" fillId="0" borderId="23" xfId="53" applyFont="1" applyBorder="1" applyAlignment="1">
      <alignment horizontal="center" vertical="center"/>
      <protection/>
    </xf>
    <xf numFmtId="0" fontId="11" fillId="0" borderId="24" xfId="53" applyFont="1" applyBorder="1" applyAlignment="1">
      <alignment vertical="center"/>
      <protection/>
    </xf>
    <xf numFmtId="0" fontId="11" fillId="0" borderId="24" xfId="53" applyFont="1" applyBorder="1" applyAlignment="1">
      <alignment vertical="center" wrapText="1"/>
      <protection/>
    </xf>
    <xf numFmtId="0" fontId="28" fillId="0" borderId="0" xfId="53" applyFont="1" applyAlignment="1">
      <alignment vertical="center"/>
      <protection/>
    </xf>
    <xf numFmtId="0" fontId="13" fillId="0" borderId="24" xfId="53" applyFont="1" applyBorder="1" applyAlignment="1">
      <alignment vertical="center"/>
      <protection/>
    </xf>
    <xf numFmtId="0" fontId="13" fillId="0" borderId="24" xfId="53" applyFont="1" applyBorder="1" applyAlignment="1">
      <alignment vertical="center" wrapText="1"/>
      <protection/>
    </xf>
    <xf numFmtId="0" fontId="29" fillId="0" borderId="0" xfId="53" applyFont="1" applyAlignment="1">
      <alignment vertical="center"/>
      <protection/>
    </xf>
    <xf numFmtId="0" fontId="13" fillId="0" borderId="25" xfId="53" applyFont="1" applyBorder="1" applyAlignment="1">
      <alignment vertical="center"/>
      <protection/>
    </xf>
    <xf numFmtId="0" fontId="13" fillId="0" borderId="25" xfId="53" applyFont="1" applyBorder="1" applyAlignment="1">
      <alignment vertical="center" wrapText="1"/>
      <protection/>
    </xf>
    <xf numFmtId="0" fontId="11" fillId="0" borderId="25" xfId="53" applyFont="1" applyBorder="1" applyAlignment="1">
      <alignment vertical="center"/>
      <protection/>
    </xf>
    <xf numFmtId="0" fontId="11" fillId="0" borderId="25" xfId="53" applyFont="1" applyBorder="1" applyAlignment="1">
      <alignment vertical="center" wrapText="1"/>
      <protection/>
    </xf>
    <xf numFmtId="0" fontId="13" fillId="0" borderId="26" xfId="53" applyFont="1" applyBorder="1" applyAlignment="1">
      <alignment vertical="center"/>
      <protection/>
    </xf>
    <xf numFmtId="0" fontId="13" fillId="0" borderId="26" xfId="53" applyFont="1" applyBorder="1" applyAlignment="1">
      <alignment vertical="center" wrapText="1"/>
      <protection/>
    </xf>
    <xf numFmtId="0" fontId="13" fillId="0" borderId="27" xfId="53" applyFont="1" applyBorder="1" applyAlignment="1">
      <alignment vertical="center"/>
      <protection/>
    </xf>
    <xf numFmtId="0" fontId="27" fillId="0" borderId="0" xfId="53" applyFont="1" applyBorder="1" applyAlignment="1">
      <alignment vertical="center"/>
      <protection/>
    </xf>
    <xf numFmtId="0" fontId="2" fillId="0" borderId="0" xfId="53" applyBorder="1" applyAlignment="1">
      <alignment vertical="center"/>
      <protection/>
    </xf>
    <xf numFmtId="0" fontId="27" fillId="0" borderId="0" xfId="53" applyFont="1" applyFill="1" applyBorder="1" applyAlignment="1">
      <alignment vertical="center"/>
      <protection/>
    </xf>
    <xf numFmtId="0" fontId="29" fillId="0" borderId="0" xfId="53" applyFont="1" applyBorder="1" applyAlignment="1">
      <alignment vertical="center"/>
      <protection/>
    </xf>
    <xf numFmtId="0" fontId="30" fillId="0" borderId="0" xfId="53" applyFont="1" applyBorder="1" applyAlignment="1">
      <alignment vertical="center"/>
      <protection/>
    </xf>
    <xf numFmtId="0" fontId="10" fillId="0" borderId="0" xfId="53" applyFont="1" applyFill="1">
      <alignment/>
      <protection/>
    </xf>
    <xf numFmtId="0" fontId="10" fillId="0" borderId="0" xfId="53" applyFont="1" applyFill="1" applyAlignment="1">
      <alignment horizontal="center" vertical="center"/>
      <protection/>
    </xf>
    <xf numFmtId="49" fontId="10" fillId="0" borderId="0" xfId="53" applyNumberFormat="1" applyFont="1" applyFill="1" applyAlignment="1">
      <alignment vertical="center"/>
      <protection/>
    </xf>
    <xf numFmtId="0" fontId="12" fillId="0" borderId="22" xfId="53" applyFont="1" applyFill="1" applyBorder="1" applyAlignment="1">
      <alignment horizontal="center" vertical="center"/>
      <protection/>
    </xf>
    <xf numFmtId="0" fontId="12" fillId="0" borderId="23" xfId="53" applyFont="1" applyFill="1" applyBorder="1" applyAlignment="1">
      <alignment horizontal="center" vertical="top"/>
      <protection/>
    </xf>
    <xf numFmtId="0" fontId="12" fillId="0" borderId="24" xfId="53" applyFont="1" applyFill="1" applyBorder="1" applyAlignment="1">
      <alignment horizontal="center" vertical="center"/>
      <protection/>
    </xf>
    <xf numFmtId="49" fontId="31" fillId="0" borderId="28" xfId="53" applyNumberFormat="1" applyFont="1" applyFill="1" applyBorder="1" applyAlignment="1">
      <alignment vertical="center"/>
      <protection/>
    </xf>
    <xf numFmtId="0" fontId="12" fillId="0" borderId="25" xfId="53" applyFont="1" applyFill="1" applyBorder="1" applyAlignment="1">
      <alignment horizontal="center" vertical="center"/>
      <protection/>
    </xf>
    <xf numFmtId="49" fontId="12" fillId="34" borderId="28" xfId="53" applyNumberFormat="1" applyFont="1" applyFill="1" applyBorder="1" applyAlignment="1">
      <alignment vertical="center"/>
      <protection/>
    </xf>
    <xf numFmtId="0" fontId="10" fillId="0" borderId="25" xfId="53" applyFont="1" applyFill="1" applyBorder="1" applyAlignment="1">
      <alignment horizontal="center" vertical="center"/>
      <protection/>
    </xf>
    <xf numFmtId="49" fontId="10" fillId="0" borderId="16" xfId="53" applyNumberFormat="1" applyFont="1" applyFill="1" applyBorder="1" applyAlignment="1">
      <alignment vertical="center"/>
      <protection/>
    </xf>
    <xf numFmtId="184" fontId="10" fillId="0" borderId="14" xfId="53" applyNumberFormat="1" applyFont="1" applyFill="1" applyBorder="1" applyAlignment="1">
      <alignment vertical="center" wrapText="1"/>
      <protection/>
    </xf>
    <xf numFmtId="184" fontId="10" fillId="0" borderId="29" xfId="53" applyNumberFormat="1" applyFont="1" applyFill="1" applyBorder="1" applyAlignment="1">
      <alignment vertical="center" wrapText="1"/>
      <protection/>
    </xf>
    <xf numFmtId="49" fontId="10" fillId="0" borderId="29" xfId="53" applyNumberFormat="1" applyFont="1" applyFill="1" applyBorder="1" applyAlignment="1">
      <alignment vertical="center" wrapText="1"/>
      <protection/>
    </xf>
    <xf numFmtId="4" fontId="85" fillId="0" borderId="0" xfId="53" applyNumberFormat="1" applyFont="1" applyFill="1">
      <alignment/>
      <protection/>
    </xf>
    <xf numFmtId="0" fontId="10" fillId="33" borderId="25" xfId="53" applyFont="1" applyFill="1" applyBorder="1" applyAlignment="1">
      <alignment horizontal="center" vertical="center"/>
      <protection/>
    </xf>
    <xf numFmtId="0" fontId="10" fillId="0" borderId="24" xfId="53" applyFont="1" applyFill="1" applyBorder="1" applyAlignment="1">
      <alignment horizontal="center" vertical="center"/>
      <protection/>
    </xf>
    <xf numFmtId="49" fontId="10" fillId="0" borderId="30" xfId="53" applyNumberFormat="1" applyFont="1" applyFill="1" applyBorder="1" applyAlignment="1">
      <alignment vertical="center" wrapText="1"/>
      <protection/>
    </xf>
    <xf numFmtId="49" fontId="10" fillId="0" borderId="14" xfId="53" applyNumberFormat="1" applyFont="1" applyFill="1" applyBorder="1" applyAlignment="1">
      <alignment vertical="center" wrapText="1"/>
      <protection/>
    </xf>
    <xf numFmtId="49" fontId="10" fillId="0" borderId="19" xfId="53" applyNumberFormat="1" applyFont="1" applyFill="1" applyBorder="1" applyAlignment="1">
      <alignment vertical="center" wrapText="1"/>
      <protection/>
    </xf>
    <xf numFmtId="49" fontId="10" fillId="0" borderId="29" xfId="53" applyNumberFormat="1" applyFont="1" applyFill="1" applyBorder="1" applyAlignment="1">
      <alignment vertical="center"/>
      <protection/>
    </xf>
    <xf numFmtId="0" fontId="12" fillId="34" borderId="28" xfId="0" applyFont="1" applyFill="1" applyBorder="1" applyAlignment="1">
      <alignment vertical="center" wrapText="1"/>
    </xf>
    <xf numFmtId="0" fontId="10" fillId="35" borderId="28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vertical="center" wrapText="1"/>
    </xf>
    <xf numFmtId="0" fontId="10" fillId="0" borderId="28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49" fontId="12" fillId="34" borderId="28" xfId="53" applyNumberFormat="1" applyFont="1" applyFill="1" applyBorder="1" applyAlignment="1">
      <alignment vertical="center" wrapText="1"/>
      <protection/>
    </xf>
    <xf numFmtId="0" fontId="10" fillId="0" borderId="11" xfId="53" applyFont="1" applyFill="1" applyBorder="1" applyAlignment="1">
      <alignment horizontal="center" vertical="center"/>
      <protection/>
    </xf>
    <xf numFmtId="0" fontId="10" fillId="0" borderId="11" xfId="53" applyNumberFormat="1" applyFont="1" applyFill="1" applyBorder="1" applyAlignment="1">
      <alignment horizontal="justify" vertical="center" wrapText="1"/>
      <protection/>
    </xf>
    <xf numFmtId="0" fontId="10" fillId="0" borderId="11" xfId="53" applyFont="1" applyFill="1" applyBorder="1" applyAlignment="1">
      <alignment horizontal="justify" vertical="center" wrapText="1"/>
      <protection/>
    </xf>
    <xf numFmtId="0" fontId="10" fillId="0" borderId="11" xfId="53" applyFont="1" applyFill="1" applyBorder="1" applyAlignment="1">
      <alignment horizontal="justify" vertical="center"/>
      <protection/>
    </xf>
    <xf numFmtId="0" fontId="10" fillId="0" borderId="19" xfId="53" applyFont="1" applyFill="1" applyBorder="1" applyAlignment="1">
      <alignment wrapText="1"/>
      <protection/>
    </xf>
    <xf numFmtId="49" fontId="12" fillId="0" borderId="14" xfId="53" applyNumberFormat="1" applyFont="1" applyFill="1" applyBorder="1" applyAlignment="1">
      <alignment vertical="center"/>
      <protection/>
    </xf>
    <xf numFmtId="49" fontId="10" fillId="0" borderId="16" xfId="53" applyNumberFormat="1" applyFont="1" applyFill="1" applyBorder="1" applyAlignment="1">
      <alignment vertical="center" wrapText="1"/>
      <protection/>
    </xf>
    <xf numFmtId="0" fontId="10" fillId="0" borderId="10" xfId="53" applyFont="1" applyFill="1" applyBorder="1" applyAlignment="1">
      <alignment vertical="center" wrapText="1"/>
      <protection/>
    </xf>
    <xf numFmtId="49" fontId="12" fillId="0" borderId="28" xfId="53" applyNumberFormat="1" applyFont="1" applyFill="1" applyBorder="1" applyAlignment="1">
      <alignment vertical="center"/>
      <protection/>
    </xf>
    <xf numFmtId="0" fontId="11" fillId="0" borderId="31" xfId="53" applyFont="1" applyFill="1" applyBorder="1" applyAlignment="1">
      <alignment horizontal="center" vertical="center"/>
      <protection/>
    </xf>
    <xf numFmtId="49" fontId="11" fillId="0" borderId="28" xfId="53" applyNumberFormat="1" applyFont="1" applyFill="1" applyBorder="1" applyAlignment="1">
      <alignment vertical="center"/>
      <protection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4" fontId="10" fillId="0" borderId="0" xfId="0" applyNumberFormat="1" applyFont="1" applyFill="1" applyAlignment="1">
      <alignment/>
    </xf>
    <xf numFmtId="4" fontId="78" fillId="0" borderId="0" xfId="53" applyNumberFormat="1" applyFont="1" applyFill="1">
      <alignment/>
      <protection/>
    </xf>
    <xf numFmtId="0" fontId="78" fillId="0" borderId="0" xfId="53" applyFont="1" applyFill="1">
      <alignment/>
      <protection/>
    </xf>
    <xf numFmtId="0" fontId="78" fillId="0" borderId="0" xfId="53" applyFont="1" applyFill="1" applyAlignment="1">
      <alignment horizontal="center" vertical="center"/>
      <protection/>
    </xf>
    <xf numFmtId="49" fontId="78" fillId="0" borderId="0" xfId="53" applyNumberFormat="1" applyFont="1" applyFill="1" applyAlignment="1">
      <alignment vertical="center"/>
      <protection/>
    </xf>
    <xf numFmtId="0" fontId="79" fillId="0" borderId="22" xfId="53" applyFont="1" applyFill="1" applyBorder="1" applyAlignment="1">
      <alignment horizontal="center" vertical="center" wrapText="1"/>
      <protection/>
    </xf>
    <xf numFmtId="49" fontId="79" fillId="0" borderId="32" xfId="53" applyNumberFormat="1" applyFont="1" applyFill="1" applyBorder="1" applyAlignment="1">
      <alignment horizontal="center" vertical="center"/>
      <protection/>
    </xf>
    <xf numFmtId="0" fontId="79" fillId="0" borderId="30" xfId="53" applyFont="1" applyFill="1" applyBorder="1" applyAlignment="1">
      <alignment horizontal="center" vertical="center"/>
      <protection/>
    </xf>
    <xf numFmtId="49" fontId="86" fillId="0" borderId="33" xfId="53" applyNumberFormat="1" applyFont="1" applyFill="1" applyBorder="1" applyAlignment="1">
      <alignment vertical="center" wrapText="1"/>
      <protection/>
    </xf>
    <xf numFmtId="0" fontId="79" fillId="0" borderId="25" xfId="53" applyFont="1" applyFill="1" applyBorder="1" applyAlignment="1">
      <alignment horizontal="center" vertical="center"/>
      <protection/>
    </xf>
    <xf numFmtId="49" fontId="79" fillId="0" borderId="20" xfId="53" applyNumberFormat="1" applyFont="1" applyFill="1" applyBorder="1" applyAlignment="1">
      <alignment vertical="center"/>
      <protection/>
    </xf>
    <xf numFmtId="49" fontId="87" fillId="0" borderId="20" xfId="53" applyNumberFormat="1" applyFont="1" applyFill="1" applyBorder="1" applyAlignment="1">
      <alignment vertical="center" wrapText="1"/>
      <protection/>
    </xf>
    <xf numFmtId="49" fontId="78" fillId="0" borderId="20" xfId="53" applyNumberFormat="1" applyFont="1" applyFill="1" applyBorder="1" applyAlignment="1">
      <alignment vertical="center"/>
      <protection/>
    </xf>
    <xf numFmtId="49" fontId="82" fillId="0" borderId="20" xfId="53" applyNumberFormat="1" applyFont="1" applyFill="1" applyBorder="1" applyAlignment="1">
      <alignment vertical="center" wrapText="1"/>
      <protection/>
    </xf>
    <xf numFmtId="0" fontId="78" fillId="0" borderId="25" xfId="53" applyFont="1" applyFill="1" applyBorder="1" applyAlignment="1">
      <alignment horizontal="center" vertical="center"/>
      <protection/>
    </xf>
    <xf numFmtId="0" fontId="79" fillId="0" borderId="26" xfId="53" applyFont="1" applyFill="1" applyBorder="1" applyAlignment="1">
      <alignment horizontal="center" vertical="center"/>
      <protection/>
    </xf>
    <xf numFmtId="0" fontId="78" fillId="0" borderId="26" xfId="53" applyFont="1" applyFill="1" applyBorder="1" applyAlignment="1">
      <alignment horizontal="center" vertical="center"/>
      <protection/>
    </xf>
    <xf numFmtId="184" fontId="78" fillId="0" borderId="20" xfId="53" applyNumberFormat="1" applyFont="1" applyFill="1" applyBorder="1" applyAlignment="1">
      <alignment vertical="center" wrapText="1"/>
      <protection/>
    </xf>
    <xf numFmtId="0" fontId="78" fillId="0" borderId="24" xfId="53" applyFont="1" applyFill="1" applyBorder="1" applyAlignment="1">
      <alignment horizontal="center" vertical="center"/>
      <protection/>
    </xf>
    <xf numFmtId="49" fontId="78" fillId="0" borderId="20" xfId="53" applyNumberFormat="1" applyFont="1" applyFill="1" applyBorder="1" applyAlignment="1">
      <alignment vertical="center" wrapText="1"/>
      <protection/>
    </xf>
    <xf numFmtId="0" fontId="78" fillId="0" borderId="24" xfId="53" applyFont="1" applyFill="1" applyBorder="1" applyAlignment="1">
      <alignment horizontal="center" vertical="center" wrapText="1"/>
      <protection/>
    </xf>
    <xf numFmtId="49" fontId="78" fillId="0" borderId="21" xfId="53" applyNumberFormat="1" applyFont="1" applyFill="1" applyBorder="1" applyAlignment="1">
      <alignment vertical="center" wrapText="1"/>
      <protection/>
    </xf>
    <xf numFmtId="0" fontId="78" fillId="0" borderId="34" xfId="53" applyFont="1" applyFill="1" applyBorder="1" applyAlignment="1">
      <alignment horizontal="center" vertical="center"/>
      <protection/>
    </xf>
    <xf numFmtId="49" fontId="12" fillId="0" borderId="20" xfId="53" applyNumberFormat="1" applyFont="1" applyFill="1" applyBorder="1" applyAlignment="1">
      <alignment vertical="center"/>
      <protection/>
    </xf>
    <xf numFmtId="4" fontId="79" fillId="0" borderId="0" xfId="53" applyNumberFormat="1" applyFont="1" applyFill="1">
      <alignment/>
      <protection/>
    </xf>
    <xf numFmtId="0" fontId="79" fillId="0" borderId="0" xfId="53" applyFont="1" applyFill="1">
      <alignment/>
      <protection/>
    </xf>
    <xf numFmtId="0" fontId="78" fillId="0" borderId="20" xfId="0" applyFont="1" applyBorder="1" applyAlignment="1">
      <alignment wrapText="1"/>
    </xf>
    <xf numFmtId="0" fontId="79" fillId="0" borderId="27" xfId="53" applyFont="1" applyFill="1" applyBorder="1" applyAlignment="1">
      <alignment horizontal="center" vertical="center"/>
      <protection/>
    </xf>
    <xf numFmtId="0" fontId="78" fillId="0" borderId="0" xfId="53" applyFont="1" applyFill="1" applyAlignment="1">
      <alignment vertical="center"/>
      <protection/>
    </xf>
    <xf numFmtId="49" fontId="78" fillId="0" borderId="0" xfId="53" applyNumberFormat="1" applyFont="1" applyFill="1" applyAlignment="1">
      <alignment horizontal="right" vertical="center"/>
      <protection/>
    </xf>
    <xf numFmtId="43" fontId="88" fillId="0" borderId="0" xfId="63" applyNumberFormat="1" applyFont="1" applyFill="1" applyAlignment="1">
      <alignment vertical="center"/>
    </xf>
    <xf numFmtId="4" fontId="13" fillId="0" borderId="0" xfId="53" applyNumberFormat="1" applyFont="1" applyAlignment="1">
      <alignment vertical="center"/>
      <protection/>
    </xf>
    <xf numFmtId="4" fontId="11" fillId="0" borderId="25" xfId="53" applyNumberFormat="1" applyFont="1" applyBorder="1" applyAlignment="1">
      <alignment horizontal="center" vertical="center"/>
      <protection/>
    </xf>
    <xf numFmtId="4" fontId="13" fillId="0" borderId="25" xfId="53" applyNumberFormat="1" applyFont="1" applyBorder="1" applyAlignment="1">
      <alignment horizontal="center" vertical="center"/>
      <protection/>
    </xf>
    <xf numFmtId="4" fontId="13" fillId="0" borderId="26" xfId="53" applyNumberFormat="1" applyFont="1" applyBorder="1" applyAlignment="1">
      <alignment horizontal="center" vertical="center"/>
      <protection/>
    </xf>
    <xf numFmtId="4" fontId="11" fillId="0" borderId="27" xfId="53" applyNumberFormat="1" applyFont="1" applyBorder="1" applyAlignment="1">
      <alignment horizontal="center" vertical="center"/>
      <protection/>
    </xf>
    <xf numFmtId="4" fontId="27" fillId="0" borderId="0" xfId="53" applyNumberFormat="1" applyFont="1" applyBorder="1" applyAlignment="1">
      <alignment horizontal="center" vertical="center"/>
      <protection/>
    </xf>
    <xf numFmtId="4" fontId="2" fillId="0" borderId="0" xfId="53" applyNumberFormat="1" applyBorder="1" applyAlignment="1">
      <alignment horizontal="center" vertical="center"/>
      <protection/>
    </xf>
    <xf numFmtId="4" fontId="89" fillId="0" borderId="0" xfId="53" applyNumberFormat="1" applyFont="1" applyBorder="1" applyAlignment="1">
      <alignment horizontal="center" vertical="center"/>
      <protection/>
    </xf>
    <xf numFmtId="4" fontId="30" fillId="0" borderId="0" xfId="53" applyNumberFormat="1" applyFont="1" applyBorder="1" applyAlignment="1">
      <alignment horizontal="center" vertical="center"/>
      <protection/>
    </xf>
    <xf numFmtId="4" fontId="2" fillId="0" borderId="0" xfId="53" applyNumberFormat="1" applyAlignment="1">
      <alignment vertical="center"/>
      <protection/>
    </xf>
    <xf numFmtId="4" fontId="10" fillId="0" borderId="0" xfId="53" applyNumberFormat="1" applyFont="1" applyFill="1" applyAlignment="1">
      <alignment horizontal="right" vertical="center"/>
      <protection/>
    </xf>
    <xf numFmtId="0" fontId="10" fillId="0" borderId="25" xfId="53" applyFont="1" applyFill="1" applyBorder="1" applyAlignment="1">
      <alignment horizontal="center" vertical="center" wrapText="1"/>
      <protection/>
    </xf>
    <xf numFmtId="4" fontId="10" fillId="0" borderId="0" xfId="53" applyNumberFormat="1" applyFont="1" applyFill="1" applyAlignment="1">
      <alignment horizontal="center" vertical="center"/>
      <protection/>
    </xf>
    <xf numFmtId="4" fontId="31" fillId="0" borderId="31" xfId="53" applyNumberFormat="1" applyFont="1" applyFill="1" applyBorder="1" applyAlignment="1">
      <alignment horizontal="center" vertical="center"/>
      <protection/>
    </xf>
    <xf numFmtId="4" fontId="12" fillId="34" borderId="31" xfId="53" applyNumberFormat="1" applyFont="1" applyFill="1" applyBorder="1" applyAlignment="1">
      <alignment horizontal="center" vertical="center"/>
      <protection/>
    </xf>
    <xf numFmtId="4" fontId="10" fillId="0" borderId="24" xfId="53" applyNumberFormat="1" applyFont="1" applyFill="1" applyBorder="1" applyAlignment="1">
      <alignment horizontal="center" vertical="center"/>
      <protection/>
    </xf>
    <xf numFmtId="4" fontId="10" fillId="0" borderId="25" xfId="53" applyNumberFormat="1" applyFont="1" applyFill="1" applyBorder="1" applyAlignment="1">
      <alignment horizontal="center" vertical="center"/>
      <protection/>
    </xf>
    <xf numFmtId="4" fontId="10" fillId="0" borderId="26" xfId="53" applyNumberFormat="1" applyFont="1" applyFill="1" applyBorder="1" applyAlignment="1">
      <alignment horizontal="center" vertical="center"/>
      <protection/>
    </xf>
    <xf numFmtId="4" fontId="10" fillId="33" borderId="31" xfId="53" applyNumberFormat="1" applyFont="1" applyFill="1" applyBorder="1" applyAlignment="1">
      <alignment horizontal="center" vertical="center"/>
      <protection/>
    </xf>
    <xf numFmtId="4" fontId="10" fillId="0" borderId="30" xfId="53" applyNumberFormat="1" applyFont="1" applyFill="1" applyBorder="1" applyAlignment="1">
      <alignment horizontal="center" vertical="center"/>
      <protection/>
    </xf>
    <xf numFmtId="4" fontId="10" fillId="0" borderId="34" xfId="53" applyNumberFormat="1" applyFont="1" applyFill="1" applyBorder="1" applyAlignment="1">
      <alignment horizontal="center" vertical="center"/>
      <protection/>
    </xf>
    <xf numFmtId="4" fontId="12" fillId="0" borderId="31" xfId="0" applyNumberFormat="1" applyFont="1" applyFill="1" applyBorder="1" applyAlignment="1">
      <alignment horizontal="center" vertical="center"/>
    </xf>
    <xf numFmtId="4" fontId="10" fillId="0" borderId="34" xfId="0" applyNumberFormat="1" applyFont="1" applyFill="1" applyBorder="1" applyAlignment="1">
      <alignment horizontal="center" vertical="center"/>
    </xf>
    <xf numFmtId="4" fontId="12" fillId="0" borderId="31" xfId="53" applyNumberFormat="1" applyFont="1" applyFill="1" applyBorder="1" applyAlignment="1">
      <alignment horizontal="center" vertical="center"/>
      <protection/>
    </xf>
    <xf numFmtId="4" fontId="10" fillId="0" borderId="24" xfId="0" applyNumberFormat="1" applyFont="1" applyFill="1" applyBorder="1" applyAlignment="1">
      <alignment horizontal="center" vertical="center"/>
    </xf>
    <xf numFmtId="4" fontId="10" fillId="0" borderId="25" xfId="0" applyNumberFormat="1" applyFont="1" applyFill="1" applyBorder="1" applyAlignment="1">
      <alignment horizontal="center" vertical="center"/>
    </xf>
    <xf numFmtId="4" fontId="12" fillId="0" borderId="25" xfId="0" applyNumberFormat="1" applyFont="1" applyFill="1" applyBorder="1" applyAlignment="1">
      <alignment horizontal="center" vertical="center"/>
    </xf>
    <xf numFmtId="4" fontId="10" fillId="0" borderId="26" xfId="0" applyNumberFormat="1" applyFont="1" applyFill="1" applyBorder="1" applyAlignment="1">
      <alignment horizontal="center" vertical="center"/>
    </xf>
    <xf numFmtId="4" fontId="12" fillId="0" borderId="25" xfId="53" applyNumberFormat="1" applyFont="1" applyFill="1" applyBorder="1" applyAlignment="1">
      <alignment horizontal="center" vertical="center"/>
      <protection/>
    </xf>
    <xf numFmtId="4" fontId="85" fillId="0" borderId="0" xfId="53" applyNumberFormat="1" applyFont="1" applyFill="1" applyAlignment="1">
      <alignment vertical="center"/>
      <protection/>
    </xf>
    <xf numFmtId="4" fontId="10" fillId="0" borderId="0" xfId="53" applyNumberFormat="1" applyFont="1" applyFill="1" applyAlignment="1">
      <alignment vertical="center"/>
      <protection/>
    </xf>
    <xf numFmtId="4" fontId="90" fillId="0" borderId="0" xfId="0" applyNumberFormat="1" applyFont="1" applyFill="1" applyAlignment="1">
      <alignment horizontal="right" vertical="center"/>
    </xf>
    <xf numFmtId="4" fontId="0" fillId="0" borderId="0" xfId="0" applyNumberFormat="1" applyFill="1" applyAlignment="1">
      <alignment horizontal="right" vertical="center"/>
    </xf>
    <xf numFmtId="4" fontId="78" fillId="0" borderId="0" xfId="53" applyNumberFormat="1" applyFont="1" applyFill="1" applyAlignment="1">
      <alignment horizontal="center" vertical="center"/>
      <protection/>
    </xf>
    <xf numFmtId="4" fontId="79" fillId="0" borderId="22" xfId="53" applyNumberFormat="1" applyFont="1" applyFill="1" applyBorder="1" applyAlignment="1">
      <alignment horizontal="center" vertical="center"/>
      <protection/>
    </xf>
    <xf numFmtId="4" fontId="79" fillId="0" borderId="27" xfId="53" applyNumberFormat="1" applyFont="1" applyFill="1" applyBorder="1" applyAlignment="1">
      <alignment horizontal="center" vertical="center"/>
      <protection/>
    </xf>
    <xf numFmtId="4" fontId="78" fillId="0" borderId="0" xfId="53" applyNumberFormat="1" applyFont="1" applyFill="1" applyAlignment="1">
      <alignment vertical="center"/>
      <protection/>
    </xf>
    <xf numFmtId="202" fontId="10" fillId="0" borderId="0" xfId="53" applyNumberFormat="1" applyFont="1" applyFill="1" applyAlignment="1">
      <alignment vertical="center"/>
      <protection/>
    </xf>
    <xf numFmtId="0" fontId="10" fillId="0" borderId="11" xfId="0" applyNumberFormat="1" applyFont="1" applyFill="1" applyBorder="1" applyAlignment="1">
      <alignment horizontal="left" vertical="center" wrapText="1"/>
    </xf>
    <xf numFmtId="43" fontId="84" fillId="0" borderId="0" xfId="63" applyNumberFormat="1" applyFont="1" applyFill="1" applyAlignment="1">
      <alignment vertical="center"/>
    </xf>
    <xf numFmtId="4" fontId="86" fillId="0" borderId="30" xfId="53" applyNumberFormat="1" applyFont="1" applyFill="1" applyBorder="1" applyAlignment="1">
      <alignment horizontal="center" vertical="center"/>
      <protection/>
    </xf>
    <xf numFmtId="4" fontId="79" fillId="0" borderId="25" xfId="53" applyNumberFormat="1" applyFont="1" applyFill="1" applyBorder="1" applyAlignment="1">
      <alignment horizontal="center" vertical="center"/>
      <protection/>
    </xf>
    <xf numFmtId="4" fontId="87" fillId="0" borderId="25" xfId="53" applyNumberFormat="1" applyFont="1" applyFill="1" applyBorder="1" applyAlignment="1">
      <alignment horizontal="center" vertical="center"/>
      <protection/>
    </xf>
    <xf numFmtId="4" fontId="91" fillId="0" borderId="25" xfId="53" applyNumberFormat="1" applyFont="1" applyFill="1" applyBorder="1" applyAlignment="1">
      <alignment horizontal="center" vertical="center"/>
      <protection/>
    </xf>
    <xf numFmtId="4" fontId="78" fillId="0" borderId="25" xfId="53" applyNumberFormat="1" applyFont="1" applyFill="1" applyBorder="1" applyAlignment="1">
      <alignment horizontal="center" vertical="center"/>
      <protection/>
    </xf>
    <xf numFmtId="4" fontId="82" fillId="0" borderId="25" xfId="53" applyNumberFormat="1" applyFont="1" applyFill="1" applyBorder="1" applyAlignment="1">
      <alignment horizontal="center" vertical="center"/>
      <protection/>
    </xf>
    <xf numFmtId="4" fontId="79" fillId="0" borderId="34" xfId="53" applyNumberFormat="1" applyFont="1" applyFill="1" applyBorder="1" applyAlignment="1">
      <alignment horizontal="center" vertical="center"/>
      <protection/>
    </xf>
    <xf numFmtId="4" fontId="78" fillId="0" borderId="34" xfId="53" applyNumberFormat="1" applyFont="1" applyFill="1" applyBorder="1" applyAlignment="1">
      <alignment horizontal="center" vertical="center"/>
      <protection/>
    </xf>
    <xf numFmtId="4" fontId="78" fillId="0" borderId="26" xfId="53" applyNumberFormat="1" applyFont="1" applyFill="1" applyBorder="1" applyAlignment="1">
      <alignment horizontal="center" vertical="center"/>
      <protection/>
    </xf>
    <xf numFmtId="4" fontId="10" fillId="0" borderId="0" xfId="53" applyNumberFormat="1" applyFont="1" applyAlignment="1">
      <alignment vertical="center"/>
      <protection/>
    </xf>
    <xf numFmtId="4" fontId="13" fillId="0" borderId="0" xfId="53" applyNumberFormat="1" applyFont="1" applyAlignment="1">
      <alignment horizontal="center" vertical="center"/>
      <protection/>
    </xf>
    <xf numFmtId="4" fontId="85" fillId="0" borderId="0" xfId="53" applyNumberFormat="1" applyFont="1" applyAlignment="1">
      <alignment vertical="center"/>
      <protection/>
    </xf>
    <xf numFmtId="0" fontId="77" fillId="0" borderId="0" xfId="0" applyFont="1" applyFill="1" applyAlignment="1">
      <alignment horizontal="right" vertical="center"/>
    </xf>
    <xf numFmtId="0" fontId="10" fillId="0" borderId="29" xfId="0" applyFont="1" applyFill="1" applyBorder="1" applyAlignment="1">
      <alignment vertical="center" wrapText="1"/>
    </xf>
    <xf numFmtId="0" fontId="78" fillId="0" borderId="34" xfId="0" applyFont="1" applyBorder="1" applyAlignment="1">
      <alignment horizontal="center" vertical="center"/>
    </xf>
    <xf numFmtId="0" fontId="32" fillId="0" borderId="0" xfId="53" applyFont="1" applyAlignment="1">
      <alignment horizontal="right" vertical="center"/>
      <protection/>
    </xf>
    <xf numFmtId="0" fontId="2" fillId="0" borderId="0" xfId="53" applyAlignment="1">
      <alignment horizontal="right" vertical="center"/>
      <protection/>
    </xf>
    <xf numFmtId="49" fontId="10" fillId="33" borderId="28" xfId="53" applyNumberFormat="1" applyFont="1" applyFill="1" applyBorder="1" applyAlignment="1">
      <alignment vertical="center" wrapText="1"/>
      <protection/>
    </xf>
    <xf numFmtId="172" fontId="10" fillId="0" borderId="0" xfId="53" applyNumberFormat="1" applyFont="1" applyFill="1" applyAlignment="1">
      <alignment horizontal="right" vertical="center"/>
      <protection/>
    </xf>
    <xf numFmtId="172" fontId="10" fillId="0" borderId="0" xfId="53" applyNumberFormat="1" applyFont="1" applyAlignment="1">
      <alignment horizontal="right" vertical="center"/>
      <protection/>
    </xf>
    <xf numFmtId="172" fontId="10" fillId="0" borderId="0" xfId="53" applyNumberFormat="1" applyFont="1" applyFill="1" applyAlignment="1">
      <alignment vertical="center"/>
      <protection/>
    </xf>
    <xf numFmtId="172" fontId="10" fillId="0" borderId="0" xfId="53" applyNumberFormat="1" applyFont="1" applyFill="1">
      <alignment/>
      <protection/>
    </xf>
    <xf numFmtId="172" fontId="10" fillId="0" borderId="0" xfId="53" applyNumberFormat="1" applyFont="1" applyFill="1" applyAlignment="1">
      <alignment horizontal="center" vertical="center"/>
      <protection/>
    </xf>
    <xf numFmtId="172" fontId="31" fillId="0" borderId="31" xfId="53" applyNumberFormat="1" applyFont="1" applyFill="1" applyBorder="1" applyAlignment="1">
      <alignment horizontal="center" vertical="center"/>
      <protection/>
    </xf>
    <xf numFmtId="172" fontId="12" fillId="34" borderId="31" xfId="53" applyNumberFormat="1" applyFont="1" applyFill="1" applyBorder="1" applyAlignment="1">
      <alignment horizontal="center" vertical="center"/>
      <protection/>
    </xf>
    <xf numFmtId="172" fontId="10" fillId="0" borderId="24" xfId="53" applyNumberFormat="1" applyFont="1" applyFill="1" applyBorder="1" applyAlignment="1">
      <alignment horizontal="center" vertical="center"/>
      <protection/>
    </xf>
    <xf numFmtId="172" fontId="10" fillId="0" borderId="25" xfId="53" applyNumberFormat="1" applyFont="1" applyFill="1" applyBorder="1" applyAlignment="1">
      <alignment horizontal="center" vertical="center"/>
      <protection/>
    </xf>
    <xf numFmtId="172" fontId="10" fillId="0" borderId="26" xfId="53" applyNumberFormat="1" applyFont="1" applyFill="1" applyBorder="1" applyAlignment="1">
      <alignment horizontal="center" vertical="center"/>
      <protection/>
    </xf>
    <xf numFmtId="172" fontId="10" fillId="33" borderId="31" xfId="53" applyNumberFormat="1" applyFont="1" applyFill="1" applyBorder="1" applyAlignment="1">
      <alignment horizontal="center" vertical="center"/>
      <protection/>
    </xf>
    <xf numFmtId="172" fontId="10" fillId="0" borderId="34" xfId="53" applyNumberFormat="1" applyFont="1" applyFill="1" applyBorder="1" applyAlignment="1">
      <alignment horizontal="center" vertical="center"/>
      <protection/>
    </xf>
    <xf numFmtId="172" fontId="12" fillId="0" borderId="31" xfId="0" applyNumberFormat="1" applyFont="1" applyFill="1" applyBorder="1" applyAlignment="1">
      <alignment horizontal="center" vertical="center"/>
    </xf>
    <xf numFmtId="172" fontId="10" fillId="0" borderId="24" xfId="0" applyNumberFormat="1" applyFont="1" applyFill="1" applyBorder="1" applyAlignment="1">
      <alignment horizontal="center" vertical="center"/>
    </xf>
    <xf numFmtId="172" fontId="10" fillId="0" borderId="25" xfId="0" applyNumberFormat="1" applyFont="1" applyFill="1" applyBorder="1" applyAlignment="1">
      <alignment horizontal="center" vertical="center"/>
    </xf>
    <xf numFmtId="172" fontId="12" fillId="0" borderId="25" xfId="0" applyNumberFormat="1" applyFont="1" applyFill="1" applyBorder="1" applyAlignment="1">
      <alignment horizontal="center" vertical="center"/>
    </xf>
    <xf numFmtId="172" fontId="85" fillId="0" borderId="0" xfId="53" applyNumberFormat="1" applyFont="1" applyFill="1" applyAlignment="1">
      <alignment vertical="center"/>
      <protection/>
    </xf>
    <xf numFmtId="172" fontId="31" fillId="0" borderId="22" xfId="53" applyNumberFormat="1" applyFont="1" applyFill="1" applyBorder="1" applyAlignment="1">
      <alignment horizontal="center" vertical="center"/>
      <protection/>
    </xf>
    <xf numFmtId="172" fontId="10" fillId="0" borderId="31" xfId="0" applyNumberFormat="1" applyFont="1" applyFill="1" applyBorder="1" applyAlignment="1">
      <alignment horizontal="center" vertical="center"/>
    </xf>
    <xf numFmtId="172" fontId="10" fillId="0" borderId="35" xfId="0" applyNumberFormat="1" applyFont="1" applyFill="1" applyBorder="1" applyAlignment="1">
      <alignment horizontal="center" vertical="center"/>
    </xf>
    <xf numFmtId="172" fontId="10" fillId="0" borderId="11" xfId="0" applyNumberFormat="1" applyFont="1" applyFill="1" applyBorder="1" applyAlignment="1">
      <alignment horizontal="center" vertical="center"/>
    </xf>
    <xf numFmtId="0" fontId="78" fillId="0" borderId="36" xfId="0" applyFont="1" applyBorder="1" applyAlignment="1">
      <alignment wrapText="1"/>
    </xf>
    <xf numFmtId="49" fontId="79" fillId="0" borderId="37" xfId="53" applyNumberFormat="1" applyFont="1" applyFill="1" applyBorder="1" applyAlignment="1">
      <alignment vertical="center" wrapText="1"/>
      <protection/>
    </xf>
    <xf numFmtId="4" fontId="79" fillId="0" borderId="22" xfId="53" applyNumberFormat="1" applyFont="1" applyFill="1" applyBorder="1" applyAlignment="1">
      <alignment horizontal="center" vertical="center" wrapText="1"/>
      <protection/>
    </xf>
    <xf numFmtId="185" fontId="8" fillId="0" borderId="0" xfId="63" applyNumberFormat="1" applyFont="1" applyFill="1" applyAlignment="1">
      <alignment horizontal="right" vertical="center"/>
    </xf>
    <xf numFmtId="185" fontId="10" fillId="0" borderId="0" xfId="53" applyNumberFormat="1" applyFont="1" applyFill="1" applyAlignment="1">
      <alignment horizontal="right" vertical="center"/>
      <protection/>
    </xf>
    <xf numFmtId="185" fontId="8" fillId="0" borderId="0" xfId="63" applyNumberFormat="1" applyFont="1" applyFill="1" applyAlignment="1">
      <alignment vertical="center"/>
    </xf>
    <xf numFmtId="185" fontId="16" fillId="0" borderId="0" xfId="63" applyNumberFormat="1" applyFont="1" applyFill="1" applyAlignment="1">
      <alignment vertical="center"/>
    </xf>
    <xf numFmtId="185" fontId="12" fillId="0" borderId="11" xfId="63" applyNumberFormat="1" applyFont="1" applyFill="1" applyBorder="1" applyAlignment="1">
      <alignment vertical="center" wrapText="1"/>
    </xf>
    <xf numFmtId="185" fontId="8" fillId="0" borderId="11" xfId="63" applyNumberFormat="1" applyFont="1" applyFill="1" applyBorder="1" applyAlignment="1">
      <alignment vertical="center" wrapText="1"/>
    </xf>
    <xf numFmtId="185" fontId="18" fillId="0" borderId="0" xfId="63" applyNumberFormat="1" applyFont="1" applyFill="1" applyAlignment="1">
      <alignment vertical="center"/>
    </xf>
    <xf numFmtId="185" fontId="84" fillId="0" borderId="0" xfId="63" applyNumberFormat="1" applyFont="1" applyFill="1" applyAlignment="1">
      <alignment vertical="center"/>
    </xf>
    <xf numFmtId="185" fontId="88" fillId="0" borderId="0" xfId="63" applyNumberFormat="1" applyFont="1" applyFill="1" applyAlignment="1">
      <alignment vertical="center"/>
    </xf>
    <xf numFmtId="4" fontId="5" fillId="0" borderId="11" xfId="65" applyNumberFormat="1" applyFont="1" applyFill="1" applyBorder="1" applyAlignment="1">
      <alignment horizontal="center" vertical="center"/>
    </xf>
    <xf numFmtId="4" fontId="11" fillId="0" borderId="11" xfId="65" applyNumberFormat="1" applyFont="1" applyBorder="1" applyAlignment="1">
      <alignment horizontal="center" vertical="center"/>
    </xf>
    <xf numFmtId="0" fontId="6" fillId="0" borderId="11" xfId="53" applyFont="1" applyBorder="1" applyAlignment="1">
      <alignment horizontal="left" vertical="center"/>
      <protection/>
    </xf>
    <xf numFmtId="49" fontId="6" fillId="0" borderId="11" xfId="53" applyNumberFormat="1" applyFont="1" applyBorder="1" applyAlignment="1">
      <alignment horizontal="center" vertical="center"/>
      <protection/>
    </xf>
    <xf numFmtId="4" fontId="6" fillId="0" borderId="11" xfId="65" applyNumberFormat="1" applyFont="1" applyBorder="1" applyAlignment="1">
      <alignment horizontal="center" vertical="center"/>
    </xf>
    <xf numFmtId="0" fontId="5" fillId="0" borderId="11" xfId="53" applyFont="1" applyBorder="1" applyAlignment="1">
      <alignment horizontal="left" vertical="center" wrapText="1"/>
      <protection/>
    </xf>
    <xf numFmtId="49" fontId="10" fillId="0" borderId="11" xfId="53" applyNumberFormat="1" applyFont="1" applyBorder="1" applyAlignment="1">
      <alignment horizontal="center" vertical="center"/>
      <protection/>
    </xf>
    <xf numFmtId="49" fontId="5" fillId="0" borderId="11" xfId="53" applyNumberFormat="1" applyFont="1" applyBorder="1" applyAlignment="1">
      <alignment horizontal="center" vertical="center"/>
      <protection/>
    </xf>
    <xf numFmtId="0" fontId="5" fillId="0" borderId="11" xfId="53" applyFont="1" applyBorder="1" applyAlignment="1">
      <alignment vertical="center" wrapText="1"/>
      <protection/>
    </xf>
    <xf numFmtId="49" fontId="12" fillId="0" borderId="11" xfId="53" applyNumberFormat="1" applyFont="1" applyBorder="1" applyAlignment="1">
      <alignment horizontal="center" vertical="center"/>
      <protection/>
    </xf>
    <xf numFmtId="0" fontId="5" fillId="0" borderId="11" xfId="53" applyFont="1" applyBorder="1" applyAlignment="1">
      <alignment horizontal="left" vertical="center"/>
      <protection/>
    </xf>
    <xf numFmtId="0" fontId="5" fillId="0" borderId="11" xfId="53" applyFont="1" applyBorder="1" applyAlignment="1">
      <alignment vertical="center"/>
      <protection/>
    </xf>
    <xf numFmtId="0" fontId="6" fillId="0" borderId="11" xfId="53" applyFont="1" applyBorder="1" applyAlignment="1">
      <alignment vertical="center" wrapText="1"/>
      <protection/>
    </xf>
    <xf numFmtId="4" fontId="6" fillId="0" borderId="11" xfId="65" applyNumberFormat="1" applyFont="1" applyFill="1" applyBorder="1" applyAlignment="1">
      <alignment horizontal="center" vertical="center"/>
    </xf>
    <xf numFmtId="0" fontId="6" fillId="0" borderId="11" xfId="53" applyFont="1" applyBorder="1" applyAlignment="1">
      <alignment vertical="center"/>
      <protection/>
    </xf>
    <xf numFmtId="4" fontId="5" fillId="33" borderId="11" xfId="65" applyNumberFormat="1" applyFont="1" applyFill="1" applyBorder="1" applyAlignment="1">
      <alignment horizontal="center" vertical="center"/>
    </xf>
    <xf numFmtId="4" fontId="5" fillId="0" borderId="11" xfId="65" applyNumberFormat="1" applyFont="1" applyBorder="1" applyAlignment="1">
      <alignment horizontal="center" vertical="center"/>
    </xf>
    <xf numFmtId="185" fontId="8" fillId="0" borderId="0" xfId="63" applyNumberFormat="1" applyFont="1" applyFill="1" applyAlignment="1">
      <alignment horizontal="center" vertical="center"/>
    </xf>
    <xf numFmtId="185" fontId="16" fillId="0" borderId="0" xfId="63" applyNumberFormat="1" applyFont="1" applyFill="1" applyAlignment="1">
      <alignment horizontal="center" vertical="center"/>
    </xf>
    <xf numFmtId="185" fontId="12" fillId="0" borderId="11" xfId="63" applyNumberFormat="1" applyFont="1" applyFill="1" applyBorder="1" applyAlignment="1">
      <alignment horizontal="center" vertical="center" wrapText="1"/>
    </xf>
    <xf numFmtId="185" fontId="84" fillId="0" borderId="0" xfId="63" applyNumberFormat="1" applyFont="1" applyFill="1" applyAlignment="1">
      <alignment horizontal="center" vertical="center"/>
    </xf>
    <xf numFmtId="185" fontId="10" fillId="0" borderId="0" xfId="63" applyNumberFormat="1" applyFont="1" applyFill="1" applyBorder="1" applyAlignment="1">
      <alignment horizontal="center" vertical="center" wrapText="1"/>
    </xf>
    <xf numFmtId="185" fontId="16" fillId="0" borderId="0" xfId="63" applyNumberFormat="1" applyFont="1" applyFill="1" applyAlignment="1">
      <alignment horizontal="center" vertical="center"/>
    </xf>
    <xf numFmtId="4" fontId="11" fillId="0" borderId="31" xfId="53" applyNumberFormat="1" applyFont="1" applyFill="1" applyBorder="1" applyAlignment="1">
      <alignment horizontal="center" vertical="center"/>
      <protection/>
    </xf>
    <xf numFmtId="4" fontId="10" fillId="0" borderId="0" xfId="53" applyNumberFormat="1" applyFont="1" applyFill="1">
      <alignment/>
      <protection/>
    </xf>
    <xf numFmtId="4" fontId="77" fillId="0" borderId="0" xfId="0" applyNumberFormat="1" applyFont="1" applyFill="1" applyAlignment="1">
      <alignment/>
    </xf>
    <xf numFmtId="4" fontId="82" fillId="0" borderId="0" xfId="0" applyNumberFormat="1" applyFont="1" applyFill="1" applyAlignment="1">
      <alignment wrapText="1"/>
    </xf>
    <xf numFmtId="4" fontId="77" fillId="0" borderId="0" xfId="0" applyNumberFormat="1" applyFont="1" applyFill="1" applyAlignment="1">
      <alignment vertical="center"/>
    </xf>
    <xf numFmtId="4" fontId="77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left"/>
    </xf>
    <xf numFmtId="4" fontId="77" fillId="0" borderId="0" xfId="0" applyNumberFormat="1" applyFont="1" applyFill="1" applyAlignment="1">
      <alignment horizontal="left"/>
    </xf>
    <xf numFmtId="4" fontId="0" fillId="0" borderId="0" xfId="0" applyNumberFormat="1" applyFont="1" applyFill="1" applyAlignment="1">
      <alignment horizontal="center" vertical="center"/>
    </xf>
    <xf numFmtId="4" fontId="17" fillId="0" borderId="0" xfId="0" applyNumberFormat="1" applyFont="1" applyFill="1" applyAlignment="1">
      <alignment horizontal="left"/>
    </xf>
    <xf numFmtId="4" fontId="20" fillId="0" borderId="0" xfId="0" applyNumberFormat="1" applyFont="1" applyFill="1" applyAlignment="1">
      <alignment horizontal="left"/>
    </xf>
    <xf numFmtId="4" fontId="80" fillId="0" borderId="0" xfId="0" applyNumberFormat="1" applyFont="1" applyFill="1" applyAlignment="1">
      <alignment horizontal="left"/>
    </xf>
    <xf numFmtId="4" fontId="80" fillId="0" borderId="0" xfId="0" applyNumberFormat="1" applyFont="1" applyFill="1" applyAlignment="1">
      <alignment/>
    </xf>
    <xf numFmtId="4" fontId="16" fillId="0" borderId="0" xfId="0" applyNumberFormat="1" applyFont="1" applyFill="1" applyAlignment="1">
      <alignment vertical="center"/>
    </xf>
    <xf numFmtId="4" fontId="67" fillId="0" borderId="0" xfId="0" applyNumberFormat="1" applyFont="1" applyFill="1" applyAlignment="1">
      <alignment horizontal="left"/>
    </xf>
    <xf numFmtId="4" fontId="67" fillId="0" borderId="0" xfId="0" applyNumberFormat="1" applyFont="1" applyFill="1" applyAlignment="1">
      <alignment/>
    </xf>
    <xf numFmtId="4" fontId="16" fillId="0" borderId="0" xfId="0" applyNumberFormat="1" applyFont="1" applyFill="1" applyAlignment="1">
      <alignment horizontal="left"/>
    </xf>
    <xf numFmtId="4" fontId="80" fillId="0" borderId="0" xfId="0" applyNumberFormat="1" applyFont="1" applyFill="1" applyAlignment="1">
      <alignment horizontal="center" vertical="center"/>
    </xf>
    <xf numFmtId="4" fontId="80" fillId="0" borderId="0" xfId="0" applyNumberFormat="1" applyFont="1" applyFill="1" applyAlignment="1">
      <alignment horizontal="left" vertical="center"/>
    </xf>
    <xf numFmtId="4" fontId="0" fillId="0" borderId="0" xfId="0" applyNumberFormat="1" applyFont="1" applyFill="1" applyAlignment="1">
      <alignment/>
    </xf>
    <xf numFmtId="4" fontId="50" fillId="0" borderId="0" xfId="0" applyNumberFormat="1" applyFont="1" applyFill="1" applyAlignment="1">
      <alignment/>
    </xf>
    <xf numFmtId="4" fontId="0" fillId="36" borderId="0" xfId="0" applyNumberFormat="1" applyFont="1" applyFill="1" applyAlignment="1">
      <alignment horizontal="center" vertical="center"/>
    </xf>
    <xf numFmtId="4" fontId="67" fillId="36" borderId="0" xfId="0" applyNumberFormat="1" applyFont="1" applyFill="1" applyAlignment="1">
      <alignment horizontal="center" vertical="center"/>
    </xf>
    <xf numFmtId="4" fontId="80" fillId="36" borderId="0" xfId="0" applyNumberFormat="1" applyFont="1" applyFill="1" applyAlignment="1">
      <alignment horizontal="left"/>
    </xf>
    <xf numFmtId="4" fontId="67" fillId="36" borderId="0" xfId="0" applyNumberFormat="1" applyFont="1" applyFill="1" applyAlignment="1">
      <alignment horizontal="left"/>
    </xf>
    <xf numFmtId="0" fontId="12" fillId="0" borderId="11" xfId="53" applyFont="1" applyBorder="1" applyAlignment="1">
      <alignment horizontal="center" vertical="center"/>
      <protection/>
    </xf>
    <xf numFmtId="0" fontId="12" fillId="0" borderId="11" xfId="53" applyFont="1" applyBorder="1" applyAlignment="1">
      <alignment horizontal="center" vertical="center" wrapText="1"/>
      <protection/>
    </xf>
    <xf numFmtId="49" fontId="12" fillId="0" borderId="11" xfId="63" applyNumberFormat="1" applyFont="1" applyFill="1" applyBorder="1" applyAlignment="1">
      <alignment horizontal="center" vertical="center" wrapText="1"/>
    </xf>
    <xf numFmtId="4" fontId="10" fillId="0" borderId="0" xfId="53" applyNumberFormat="1" applyFont="1" applyAlignment="1">
      <alignment horizontal="right" vertical="center"/>
      <protection/>
    </xf>
    <xf numFmtId="0" fontId="13" fillId="0" borderId="22" xfId="53" applyFont="1" applyBorder="1" applyAlignment="1">
      <alignment horizontal="center" vertical="center"/>
      <protection/>
    </xf>
    <xf numFmtId="0" fontId="13" fillId="0" borderId="23" xfId="53" applyFont="1" applyBorder="1" applyAlignment="1">
      <alignment horizontal="center" vertical="center"/>
      <protection/>
    </xf>
    <xf numFmtId="4" fontId="13" fillId="0" borderId="22" xfId="53" applyNumberFormat="1" applyFont="1" applyBorder="1" applyAlignment="1">
      <alignment horizontal="center" vertical="center"/>
      <protection/>
    </xf>
    <xf numFmtId="4" fontId="13" fillId="0" borderId="23" xfId="53" applyNumberFormat="1" applyFont="1" applyBorder="1" applyAlignment="1">
      <alignment horizontal="center" vertical="center"/>
      <protection/>
    </xf>
    <xf numFmtId="0" fontId="11" fillId="0" borderId="0" xfId="53" applyFont="1" applyAlignment="1">
      <alignment horizontal="center" vertical="center" wrapText="1"/>
      <protection/>
    </xf>
    <xf numFmtId="49" fontId="12" fillId="0" borderId="32" xfId="53" applyNumberFormat="1" applyFont="1" applyFill="1" applyBorder="1" applyAlignment="1">
      <alignment horizontal="center" vertical="center"/>
      <protection/>
    </xf>
    <xf numFmtId="49" fontId="12" fillId="0" borderId="38" xfId="53" applyNumberFormat="1" applyFont="1" applyFill="1" applyBorder="1" applyAlignment="1">
      <alignment horizontal="center" vertical="center"/>
      <protection/>
    </xf>
    <xf numFmtId="0" fontId="6" fillId="0" borderId="0" xfId="53" applyFont="1" applyFill="1" applyAlignment="1">
      <alignment horizontal="center" wrapText="1"/>
      <protection/>
    </xf>
    <xf numFmtId="4" fontId="12" fillId="0" borderId="22" xfId="53" applyNumberFormat="1" applyFont="1" applyFill="1" applyBorder="1" applyAlignment="1">
      <alignment horizontal="center" vertical="center"/>
      <protection/>
    </xf>
    <xf numFmtId="4" fontId="12" fillId="0" borderId="23" xfId="53" applyNumberFormat="1" applyFont="1" applyFill="1" applyBorder="1" applyAlignment="1">
      <alignment horizontal="center" vertical="center"/>
      <protection/>
    </xf>
    <xf numFmtId="172" fontId="12" fillId="0" borderId="22" xfId="53" applyNumberFormat="1" applyFont="1" applyFill="1" applyBorder="1" applyAlignment="1">
      <alignment horizontal="center" vertical="center" wrapText="1"/>
      <protection/>
    </xf>
    <xf numFmtId="172" fontId="12" fillId="0" borderId="23" xfId="53" applyNumberFormat="1" applyFont="1" applyFill="1" applyBorder="1" applyAlignment="1">
      <alignment horizontal="center" vertical="center" wrapText="1"/>
      <protection/>
    </xf>
    <xf numFmtId="4" fontId="85" fillId="0" borderId="0" xfId="53" applyNumberFormat="1" applyFont="1" applyFill="1" applyAlignment="1">
      <alignment horizontal="center"/>
      <protection/>
    </xf>
    <xf numFmtId="0" fontId="85" fillId="0" borderId="0" xfId="53" applyFont="1" applyFill="1" applyAlignment="1">
      <alignment horizontal="center"/>
      <protection/>
    </xf>
    <xf numFmtId="0" fontId="78" fillId="0" borderId="26" xfId="0" applyFont="1" applyBorder="1" applyAlignment="1">
      <alignment horizontal="center" vertical="center"/>
    </xf>
    <xf numFmtId="0" fontId="78" fillId="0" borderId="34" xfId="0" applyFont="1" applyBorder="1" applyAlignment="1">
      <alignment horizontal="center" vertical="center"/>
    </xf>
    <xf numFmtId="0" fontId="78" fillId="0" borderId="24" xfId="0" applyFont="1" applyBorder="1" applyAlignment="1">
      <alignment horizontal="center" vertical="center"/>
    </xf>
    <xf numFmtId="0" fontId="11" fillId="0" borderId="0" xfId="53" applyFont="1" applyFill="1" applyAlignment="1">
      <alignment horizontal="center" wrapText="1"/>
      <protection/>
    </xf>
    <xf numFmtId="0" fontId="12" fillId="0" borderId="11" xfId="53" applyFont="1" applyBorder="1" applyAlignment="1">
      <alignment horizontal="center" vertical="center"/>
      <protection/>
    </xf>
    <xf numFmtId="0" fontId="11" fillId="0" borderId="11" xfId="53" applyFont="1" applyBorder="1" applyAlignment="1">
      <alignment horizontal="center" vertical="center"/>
      <protection/>
    </xf>
    <xf numFmtId="0" fontId="6" fillId="0" borderId="11" xfId="53" applyFont="1" applyBorder="1" applyAlignment="1">
      <alignment horizontal="center" vertical="center"/>
      <protection/>
    </xf>
    <xf numFmtId="0" fontId="6" fillId="0" borderId="0" xfId="53" applyFont="1" applyAlignment="1">
      <alignment horizontal="center" vertical="center" wrapText="1"/>
      <protection/>
    </xf>
    <xf numFmtId="4" fontId="12" fillId="0" borderId="11" xfId="53" applyNumberFormat="1" applyFont="1" applyBorder="1" applyAlignment="1">
      <alignment horizontal="center" vertical="center" wrapText="1"/>
      <protection/>
    </xf>
    <xf numFmtId="0" fontId="15" fillId="0" borderId="13" xfId="0" applyFont="1" applyFill="1" applyBorder="1" applyAlignment="1">
      <alignment horizontal="center" wrapText="1"/>
    </xf>
    <xf numFmtId="0" fontId="15" fillId="0" borderId="20" xfId="0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center" wrapText="1"/>
    </xf>
    <xf numFmtId="43" fontId="8" fillId="0" borderId="0" xfId="63" applyNumberFormat="1" applyFont="1" applyFill="1" applyAlignment="1">
      <alignment horizontal="right" vertical="center"/>
    </xf>
    <xf numFmtId="4" fontId="10" fillId="0" borderId="0" xfId="53" applyNumberFormat="1" applyFont="1" applyFill="1" applyAlignment="1">
      <alignment horizontal="right" vertical="center"/>
      <protection/>
    </xf>
    <xf numFmtId="43" fontId="10" fillId="0" borderId="0" xfId="53" applyNumberFormat="1" applyFont="1" applyAlignment="1">
      <alignment horizontal="right" vertical="center"/>
      <protection/>
    </xf>
    <xf numFmtId="0" fontId="15" fillId="0" borderId="0" xfId="0" applyFont="1" applyFill="1" applyAlignment="1">
      <alignment horizontal="center" wrapText="1"/>
    </xf>
    <xf numFmtId="0" fontId="12" fillId="0" borderId="13" xfId="0" applyFont="1" applyFill="1" applyBorder="1" applyAlignment="1">
      <alignment horizontal="left" wrapText="1"/>
    </xf>
    <xf numFmtId="0" fontId="12" fillId="0" borderId="20" xfId="0" applyFont="1" applyFill="1" applyBorder="1" applyAlignment="1">
      <alignment horizontal="left" wrapText="1"/>
    </xf>
    <xf numFmtId="0" fontId="12" fillId="0" borderId="12" xfId="0" applyFont="1" applyFill="1" applyBorder="1" applyAlignment="1">
      <alignment horizontal="left" wrapText="1"/>
    </xf>
    <xf numFmtId="0" fontId="7" fillId="0" borderId="0" xfId="0" applyFont="1" applyFill="1" applyAlignment="1">
      <alignment horizont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zoomScale="75" zoomScaleNormal="75" zoomScalePageLayoutView="0" workbookViewId="0" topLeftCell="A1">
      <selection activeCell="B5" sqref="B5"/>
    </sheetView>
  </sheetViews>
  <sheetFormatPr defaultColWidth="10.00390625" defaultRowHeight="15"/>
  <cols>
    <col min="1" max="1" width="32.57421875" style="161" customWidth="1"/>
    <col min="2" max="2" width="54.00390625" style="161" customWidth="1"/>
    <col min="3" max="3" width="15.00390625" style="265" customWidth="1"/>
    <col min="4" max="4" width="14.421875" style="161" customWidth="1"/>
    <col min="5" max="16384" width="10.00390625" style="161" customWidth="1"/>
  </cols>
  <sheetData>
    <row r="1" spans="2:4" ht="12.75">
      <c r="B1" s="312"/>
      <c r="C1" s="398" t="s">
        <v>58</v>
      </c>
      <c r="D1" s="398"/>
    </row>
    <row r="2" spans="2:4" ht="12.75">
      <c r="B2" s="312"/>
      <c r="C2" s="398" t="s">
        <v>57</v>
      </c>
      <c r="D2" s="398"/>
    </row>
    <row r="3" spans="2:4" ht="12.75">
      <c r="B3" s="312"/>
      <c r="C3" s="398" t="s">
        <v>121</v>
      </c>
      <c r="D3" s="398"/>
    </row>
    <row r="4" spans="2:4" ht="14.25" customHeight="1">
      <c r="B4" s="398" t="s">
        <v>570</v>
      </c>
      <c r="C4" s="398"/>
      <c r="D4" s="398"/>
    </row>
    <row r="5" spans="2:4" ht="12.75">
      <c r="B5" s="312"/>
      <c r="C5" s="398" t="s">
        <v>354</v>
      </c>
      <c r="D5" s="398"/>
    </row>
    <row r="7" spans="1:4" s="162" customFormat="1" ht="74.25" customHeight="1">
      <c r="A7" s="403" t="s">
        <v>565</v>
      </c>
      <c r="B7" s="403"/>
      <c r="C7" s="403"/>
      <c r="D7" s="403"/>
    </row>
    <row r="8" spans="1:4" ht="19.5" thickBot="1">
      <c r="A8" s="163"/>
      <c r="B8" s="163"/>
      <c r="C8" s="256"/>
      <c r="D8" s="311" t="s">
        <v>551</v>
      </c>
    </row>
    <row r="9" spans="1:4" ht="18.75">
      <c r="A9" s="164" t="s">
        <v>355</v>
      </c>
      <c r="B9" s="399" t="s">
        <v>356</v>
      </c>
      <c r="C9" s="401" t="s">
        <v>552</v>
      </c>
      <c r="D9" s="401" t="s">
        <v>553</v>
      </c>
    </row>
    <row r="10" spans="1:4" ht="19.5" thickBot="1">
      <c r="A10" s="165" t="s">
        <v>357</v>
      </c>
      <c r="B10" s="400"/>
      <c r="C10" s="402"/>
      <c r="D10" s="402"/>
    </row>
    <row r="11" spans="1:4" s="168" customFormat="1" ht="42" customHeight="1" hidden="1">
      <c r="A11" s="166" t="s">
        <v>358</v>
      </c>
      <c r="B11" s="167" t="s">
        <v>359</v>
      </c>
      <c r="C11" s="257">
        <f>C12</f>
        <v>0</v>
      </c>
      <c r="D11" s="257">
        <f>D12</f>
        <v>0</v>
      </c>
    </row>
    <row r="12" spans="1:4" s="168" customFormat="1" ht="42" customHeight="1" hidden="1">
      <c r="A12" s="169" t="s">
        <v>360</v>
      </c>
      <c r="B12" s="170" t="s">
        <v>361</v>
      </c>
      <c r="C12" s="258">
        <v>0</v>
      </c>
      <c r="D12" s="258">
        <v>0</v>
      </c>
    </row>
    <row r="13" spans="1:4" s="171" customFormat="1" ht="54" customHeight="1" hidden="1">
      <c r="A13" s="166" t="s">
        <v>362</v>
      </c>
      <c r="B13" s="167" t="s">
        <v>363</v>
      </c>
      <c r="C13" s="257">
        <f>C14-C15</f>
        <v>0</v>
      </c>
      <c r="D13" s="257">
        <f>D14-D15</f>
        <v>0</v>
      </c>
    </row>
    <row r="14" spans="1:4" s="171" customFormat="1" ht="62.25" customHeight="1" hidden="1">
      <c r="A14" s="172" t="s">
        <v>364</v>
      </c>
      <c r="B14" s="173" t="s">
        <v>365</v>
      </c>
      <c r="C14" s="258"/>
      <c r="D14" s="258"/>
    </row>
    <row r="15" spans="1:4" s="171" customFormat="1" ht="54.75" customHeight="1" hidden="1">
      <c r="A15" s="172" t="s">
        <v>366</v>
      </c>
      <c r="B15" s="173" t="s">
        <v>367</v>
      </c>
      <c r="C15" s="258"/>
      <c r="D15" s="258"/>
    </row>
    <row r="16" spans="1:4" s="171" customFormat="1" ht="18.75">
      <c r="A16" s="174"/>
      <c r="B16" s="174"/>
      <c r="C16" s="257"/>
      <c r="D16" s="257"/>
    </row>
    <row r="17" spans="1:4" s="171" customFormat="1" ht="51" customHeight="1">
      <c r="A17" s="174" t="s">
        <v>368</v>
      </c>
      <c r="B17" s="167" t="s">
        <v>369</v>
      </c>
      <c r="C17" s="257">
        <f>C30-C11</f>
        <v>19257.317400000014</v>
      </c>
      <c r="D17" s="257">
        <v>11956.06</v>
      </c>
    </row>
    <row r="18" spans="1:4" s="171" customFormat="1" ht="18.75">
      <c r="A18" s="174"/>
      <c r="B18" s="174"/>
      <c r="C18" s="257"/>
      <c r="D18" s="257"/>
    </row>
    <row r="19" spans="1:4" ht="42" customHeight="1" hidden="1">
      <c r="A19" s="174" t="s">
        <v>370</v>
      </c>
      <c r="B19" s="175" t="s">
        <v>371</v>
      </c>
      <c r="C19" s="257">
        <f>C23-C24+C21</f>
        <v>0</v>
      </c>
      <c r="D19" s="257">
        <f>D23-D24+D21</f>
        <v>0</v>
      </c>
    </row>
    <row r="20" spans="1:4" ht="13.5" customHeight="1" hidden="1">
      <c r="A20" s="174"/>
      <c r="B20" s="175"/>
      <c r="C20" s="257"/>
      <c r="D20" s="257"/>
    </row>
    <row r="21" spans="1:4" s="162" customFormat="1" ht="75" hidden="1">
      <c r="A21" s="172" t="s">
        <v>372</v>
      </c>
      <c r="B21" s="173" t="s">
        <v>373</v>
      </c>
      <c r="C21" s="258"/>
      <c r="D21" s="258"/>
    </row>
    <row r="22" spans="1:4" s="162" customFormat="1" ht="18.75" hidden="1">
      <c r="A22" s="172"/>
      <c r="B22" s="173"/>
      <c r="C22" s="258"/>
      <c r="D22" s="258"/>
    </row>
    <row r="23" spans="1:4" s="162" customFormat="1" ht="62.25" customHeight="1" hidden="1">
      <c r="A23" s="172" t="s">
        <v>374</v>
      </c>
      <c r="B23" s="173" t="s">
        <v>375</v>
      </c>
      <c r="C23" s="258"/>
      <c r="D23" s="258"/>
    </row>
    <row r="24" spans="1:4" s="162" customFormat="1" ht="39" customHeight="1" hidden="1">
      <c r="A24" s="172" t="s">
        <v>376</v>
      </c>
      <c r="B24" s="173" t="s">
        <v>377</v>
      </c>
      <c r="C24" s="258"/>
      <c r="D24" s="258"/>
    </row>
    <row r="25" spans="1:4" s="162" customFormat="1" ht="39" customHeight="1" hidden="1">
      <c r="A25" s="176"/>
      <c r="B25" s="177"/>
      <c r="C25" s="259"/>
      <c r="D25" s="259"/>
    </row>
    <row r="26" spans="1:4" ht="39" customHeight="1" hidden="1">
      <c r="A26" s="174" t="s">
        <v>378</v>
      </c>
      <c r="B26" s="175" t="s">
        <v>379</v>
      </c>
      <c r="C26" s="257">
        <f>C28</f>
        <v>0</v>
      </c>
      <c r="D26" s="257">
        <f>D28</f>
        <v>0</v>
      </c>
    </row>
    <row r="27" spans="1:4" s="162" customFormat="1" ht="39" customHeight="1" hidden="1">
      <c r="A27" s="176"/>
      <c r="B27" s="177"/>
      <c r="C27" s="259"/>
      <c r="D27" s="259"/>
    </row>
    <row r="28" spans="1:4" s="162" customFormat="1" ht="39" customHeight="1" hidden="1">
      <c r="A28" s="176" t="s">
        <v>380</v>
      </c>
      <c r="B28" s="177" t="s">
        <v>381</v>
      </c>
      <c r="C28" s="259"/>
      <c r="D28" s="259"/>
    </row>
    <row r="29" spans="1:4" s="162" customFormat="1" ht="39" customHeight="1" hidden="1">
      <c r="A29" s="176"/>
      <c r="B29" s="177"/>
      <c r="C29" s="259"/>
      <c r="D29" s="259"/>
    </row>
    <row r="30" spans="1:4" s="162" customFormat="1" ht="48" customHeight="1" thickBot="1">
      <c r="A30" s="178"/>
      <c r="B30" s="167" t="s">
        <v>382</v>
      </c>
      <c r="C30" s="260">
        <f>'Пр.6 Р.П. ЦС. ВР'!E324-'Пр.2. Доходы'!C58</f>
        <v>19257.317400000014</v>
      </c>
      <c r="D30" s="260">
        <f>'Пр.6 Р.П. ЦС. ВР'!F324-'Пр.2. Доходы'!D58</f>
        <v>11956.064510000011</v>
      </c>
    </row>
    <row r="31" spans="1:3" ht="12.75">
      <c r="A31" s="179"/>
      <c r="B31" s="179"/>
      <c r="C31" s="261"/>
    </row>
    <row r="32" spans="1:3" ht="12.75">
      <c r="A32" s="180"/>
      <c r="B32" s="180"/>
      <c r="C32" s="262"/>
    </row>
    <row r="33" spans="1:3" s="162" customFormat="1" ht="12.75">
      <c r="A33" s="180"/>
      <c r="B33" s="180"/>
      <c r="C33" s="262"/>
    </row>
    <row r="34" spans="1:3" s="162" customFormat="1" ht="12.75">
      <c r="A34" s="179"/>
      <c r="B34" s="179"/>
      <c r="C34" s="263"/>
    </row>
    <row r="35" spans="1:3" s="162" customFormat="1" ht="12.75">
      <c r="A35" s="179"/>
      <c r="B35" s="181"/>
      <c r="C35" s="261"/>
    </row>
    <row r="36" spans="1:3" ht="12.75">
      <c r="A36" s="179"/>
      <c r="B36" s="181"/>
      <c r="C36" s="261"/>
    </row>
    <row r="37" spans="1:3" ht="18">
      <c r="A37" s="182"/>
      <c r="B37" s="183"/>
      <c r="C37" s="264"/>
    </row>
    <row r="46" ht="12.75">
      <c r="B46" s="161" t="s">
        <v>383</v>
      </c>
    </row>
  </sheetData>
  <sheetProtection/>
  <mergeCells count="9">
    <mergeCell ref="C1:D1"/>
    <mergeCell ref="C2:D2"/>
    <mergeCell ref="C3:D3"/>
    <mergeCell ref="B4:D4"/>
    <mergeCell ref="C5:D5"/>
    <mergeCell ref="B9:B10"/>
    <mergeCell ref="C9:C10"/>
    <mergeCell ref="D9:D10"/>
    <mergeCell ref="A7:D7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H12" sqref="H12"/>
    </sheetView>
  </sheetViews>
  <sheetFormatPr defaultColWidth="10.140625" defaultRowHeight="15"/>
  <cols>
    <col min="1" max="1" width="20.7109375" style="184" customWidth="1"/>
    <col min="2" max="2" width="48.00390625" style="2" customWidth="1"/>
    <col min="3" max="3" width="14.140625" style="286" customWidth="1"/>
    <col min="4" max="4" width="14.28125" style="286" customWidth="1"/>
    <col min="5" max="5" width="7.57421875" style="184" hidden="1" customWidth="1"/>
    <col min="6" max="6" width="0.2890625" style="184" hidden="1" customWidth="1"/>
    <col min="7" max="7" width="11.28125" style="316" customWidth="1"/>
    <col min="8" max="8" width="10.140625" style="371" customWidth="1"/>
    <col min="9" max="9" width="14.7109375" style="184" customWidth="1"/>
    <col min="10" max="16384" width="10.140625" style="184" customWidth="1"/>
  </cols>
  <sheetData>
    <row r="1" spans="3:7" ht="12.75">
      <c r="C1" s="266"/>
      <c r="D1" s="266"/>
      <c r="G1" s="314" t="s">
        <v>58</v>
      </c>
    </row>
    <row r="2" spans="3:7" ht="12.75">
      <c r="C2" s="266"/>
      <c r="D2" s="266"/>
      <c r="G2" s="314" t="s">
        <v>57</v>
      </c>
    </row>
    <row r="3" spans="3:7" ht="12.75">
      <c r="C3" s="88"/>
      <c r="D3" s="88"/>
      <c r="G3" s="315" t="s">
        <v>121</v>
      </c>
    </row>
    <row r="4" spans="3:7" ht="12.75">
      <c r="C4" s="88"/>
      <c r="D4" s="88"/>
      <c r="G4" s="315" t="s">
        <v>570</v>
      </c>
    </row>
    <row r="5" spans="3:7" ht="12.75">
      <c r="C5" s="266"/>
      <c r="D5" s="266"/>
      <c r="G5" s="314" t="s">
        <v>384</v>
      </c>
    </row>
    <row r="7" spans="1:7" ht="62.25" customHeight="1">
      <c r="A7" s="406" t="s">
        <v>566</v>
      </c>
      <c r="B7" s="406"/>
      <c r="C7" s="406"/>
      <c r="D7" s="406"/>
      <c r="G7" s="317"/>
    </row>
    <row r="8" spans="1:7" ht="13.5" thickBot="1">
      <c r="A8" s="185"/>
      <c r="B8" s="186"/>
      <c r="C8" s="268"/>
      <c r="D8" s="268" t="s">
        <v>554</v>
      </c>
      <c r="G8" s="318" t="s">
        <v>554</v>
      </c>
    </row>
    <row r="9" spans="1:7" ht="12.75">
      <c r="A9" s="187" t="s">
        <v>355</v>
      </c>
      <c r="B9" s="404" t="s">
        <v>385</v>
      </c>
      <c r="C9" s="407" t="s">
        <v>552</v>
      </c>
      <c r="D9" s="407" t="s">
        <v>553</v>
      </c>
      <c r="G9" s="409" t="s">
        <v>557</v>
      </c>
    </row>
    <row r="10" spans="1:7" ht="15" customHeight="1" thickBot="1">
      <c r="A10" s="188" t="s">
        <v>357</v>
      </c>
      <c r="B10" s="405"/>
      <c r="C10" s="408"/>
      <c r="D10" s="408"/>
      <c r="G10" s="410"/>
    </row>
    <row r="11" spans="1:7" ht="17.25" thickBot="1">
      <c r="A11" s="189" t="s">
        <v>386</v>
      </c>
      <c r="B11" s="190" t="s">
        <v>387</v>
      </c>
      <c r="C11" s="269">
        <f>C12+C23+C26+C17+C38+C45+C52+C55+C43+C35</f>
        <v>46569.67999999999</v>
      </c>
      <c r="D11" s="269">
        <f>D12+D23+D26+D17+D38+D45+D52+D55+D43+D35</f>
        <v>46630.189999999995</v>
      </c>
      <c r="G11" s="319">
        <f>D11/C11*100</f>
        <v>100.12993432636858</v>
      </c>
    </row>
    <row r="12" spans="1:7" ht="13.5" thickBot="1">
      <c r="A12" s="191" t="s">
        <v>388</v>
      </c>
      <c r="B12" s="192" t="s">
        <v>389</v>
      </c>
      <c r="C12" s="270">
        <f>C13</f>
        <v>7543.1</v>
      </c>
      <c r="D12" s="270">
        <f>D13</f>
        <v>7557.27</v>
      </c>
      <c r="G12" s="320">
        <f aca="true" t="shared" si="0" ref="G12:G58">D12/C12*100</f>
        <v>100.18785380016173</v>
      </c>
    </row>
    <row r="13" spans="1:7" ht="12.75">
      <c r="A13" s="193" t="s">
        <v>390</v>
      </c>
      <c r="B13" s="194" t="s">
        <v>391</v>
      </c>
      <c r="C13" s="271">
        <f>C14+C15+C16</f>
        <v>7543.1</v>
      </c>
      <c r="D13" s="271">
        <f>D14+D15+D16</f>
        <v>7557.27</v>
      </c>
      <c r="G13" s="321">
        <f t="shared" si="0"/>
        <v>100.18785380016173</v>
      </c>
    </row>
    <row r="14" spans="1:7" ht="76.5">
      <c r="A14" s="193" t="s">
        <v>392</v>
      </c>
      <c r="B14" s="195" t="s">
        <v>393</v>
      </c>
      <c r="C14" s="272">
        <f>7620.1-345+170</f>
        <v>7445.1</v>
      </c>
      <c r="D14" s="272">
        <v>7458.8</v>
      </c>
      <c r="G14" s="322">
        <f t="shared" si="0"/>
        <v>100.18401364655949</v>
      </c>
    </row>
    <row r="15" spans="1:7" ht="114.75">
      <c r="A15" s="193" t="s">
        <v>394</v>
      </c>
      <c r="B15" s="196" t="s">
        <v>395</v>
      </c>
      <c r="C15" s="273">
        <f>50+34</f>
        <v>84</v>
      </c>
      <c r="D15" s="273">
        <v>84.5</v>
      </c>
      <c r="G15" s="322">
        <f t="shared" si="0"/>
        <v>100.59523809523809</v>
      </c>
    </row>
    <row r="16" spans="1:7" ht="51.75" thickBot="1">
      <c r="A16" s="193" t="s">
        <v>396</v>
      </c>
      <c r="B16" s="197" t="s">
        <v>397</v>
      </c>
      <c r="C16" s="273">
        <f>60-46</f>
        <v>14</v>
      </c>
      <c r="D16" s="273">
        <v>13.97</v>
      </c>
      <c r="G16" s="322">
        <f t="shared" si="0"/>
        <v>99.78571428571429</v>
      </c>
    </row>
    <row r="17" spans="1:7" ht="39" thickBot="1">
      <c r="A17" s="191" t="s">
        <v>398</v>
      </c>
      <c r="B17" s="211" t="s">
        <v>543</v>
      </c>
      <c r="C17" s="270">
        <f>C18</f>
        <v>1274.1</v>
      </c>
      <c r="D17" s="270">
        <f>D18</f>
        <v>1274.11</v>
      </c>
      <c r="E17" s="198">
        <f>D17-E18</f>
        <v>-285.2900000000002</v>
      </c>
      <c r="G17" s="320">
        <f t="shared" si="0"/>
        <v>100.00078486774979</v>
      </c>
    </row>
    <row r="18" spans="1:7" ht="33.75" customHeight="1" thickBot="1">
      <c r="A18" s="199" t="s">
        <v>399</v>
      </c>
      <c r="B18" s="313" t="s">
        <v>400</v>
      </c>
      <c r="C18" s="274">
        <f>C19+C20+C21+C22</f>
        <v>1274.1</v>
      </c>
      <c r="D18" s="274">
        <v>1274.11</v>
      </c>
      <c r="E18" s="184">
        <f>E19+E20+E21+E22</f>
        <v>1559.4</v>
      </c>
      <c r="G18" s="324">
        <f t="shared" si="0"/>
        <v>100.00078486774979</v>
      </c>
    </row>
    <row r="19" spans="1:7" ht="64.5" thickBot="1">
      <c r="A19" s="200" t="s">
        <v>401</v>
      </c>
      <c r="B19" s="201" t="s">
        <v>402</v>
      </c>
      <c r="C19" s="275">
        <f>280.7+131</f>
        <v>411.7</v>
      </c>
      <c r="D19" s="275">
        <v>444.16</v>
      </c>
      <c r="E19" s="184">
        <v>400</v>
      </c>
      <c r="G19" s="324">
        <f t="shared" si="0"/>
        <v>107.88438183143066</v>
      </c>
    </row>
    <row r="20" spans="1:7" ht="77.25" thickBot="1">
      <c r="A20" s="200" t="s">
        <v>403</v>
      </c>
      <c r="B20" s="195" t="s">
        <v>404</v>
      </c>
      <c r="C20" s="272">
        <f>200-188</f>
        <v>12</v>
      </c>
      <c r="D20" s="272">
        <v>12.03</v>
      </c>
      <c r="E20" s="184">
        <v>200</v>
      </c>
      <c r="G20" s="324">
        <f t="shared" si="0"/>
        <v>100.25</v>
      </c>
    </row>
    <row r="21" spans="1:7" ht="64.5" thickBot="1">
      <c r="A21" s="200" t="s">
        <v>405</v>
      </c>
      <c r="B21" s="202" t="s">
        <v>406</v>
      </c>
      <c r="C21" s="272">
        <f>624.4+226</f>
        <v>850.4</v>
      </c>
      <c r="D21" s="272">
        <v>875.05</v>
      </c>
      <c r="E21" s="184">
        <v>924.4</v>
      </c>
      <c r="G21" s="324">
        <f t="shared" si="0"/>
        <v>102.8986359360301</v>
      </c>
    </row>
    <row r="22" spans="1:7" ht="64.5" thickBot="1">
      <c r="A22" s="200" t="s">
        <v>407</v>
      </c>
      <c r="B22" s="203" t="s">
        <v>408</v>
      </c>
      <c r="C22" s="276">
        <f>35-35</f>
        <v>0</v>
      </c>
      <c r="D22" s="276">
        <v>-57.13</v>
      </c>
      <c r="E22" s="184">
        <v>35</v>
      </c>
      <c r="G22" s="324"/>
    </row>
    <row r="23" spans="1:7" ht="13.5" thickBot="1">
      <c r="A23" s="191" t="s">
        <v>409</v>
      </c>
      <c r="B23" s="192" t="s">
        <v>410</v>
      </c>
      <c r="C23" s="270">
        <f>C24</f>
        <v>50</v>
      </c>
      <c r="D23" s="270">
        <f>D24</f>
        <v>50.01</v>
      </c>
      <c r="G23" s="320">
        <f t="shared" si="0"/>
        <v>100.02</v>
      </c>
    </row>
    <row r="24" spans="1:7" ht="12.75">
      <c r="A24" s="193" t="s">
        <v>411</v>
      </c>
      <c r="B24" s="194" t="s">
        <v>412</v>
      </c>
      <c r="C24" s="271">
        <f>C25</f>
        <v>50</v>
      </c>
      <c r="D24" s="271">
        <v>50.01</v>
      </c>
      <c r="G24" s="321">
        <f t="shared" si="0"/>
        <v>100.02</v>
      </c>
    </row>
    <row r="25" spans="1:7" ht="13.5" thickBot="1">
      <c r="A25" s="193" t="s">
        <v>514</v>
      </c>
      <c r="B25" s="204" t="s">
        <v>412</v>
      </c>
      <c r="C25" s="273">
        <f>17.3+16.7+16</f>
        <v>50</v>
      </c>
      <c r="D25" s="273">
        <v>50.01</v>
      </c>
      <c r="G25" s="321">
        <f t="shared" si="0"/>
        <v>100.02</v>
      </c>
    </row>
    <row r="26" spans="1:7" ht="13.5" thickBot="1">
      <c r="A26" s="191" t="s">
        <v>413</v>
      </c>
      <c r="B26" s="205" t="s">
        <v>414</v>
      </c>
      <c r="C26" s="270">
        <f>C27+C29+C32</f>
        <v>11144.8</v>
      </c>
      <c r="D26" s="270">
        <f>D27+D29+D32</f>
        <v>11187.1</v>
      </c>
      <c r="G26" s="320">
        <f t="shared" si="0"/>
        <v>100.37954920680498</v>
      </c>
    </row>
    <row r="27" spans="1:7" ht="13.5" thickBot="1">
      <c r="A27" s="193" t="s">
        <v>415</v>
      </c>
      <c r="B27" s="206" t="s">
        <v>416</v>
      </c>
      <c r="C27" s="277">
        <f>C28</f>
        <v>409.9</v>
      </c>
      <c r="D27" s="277">
        <f>D28</f>
        <v>410.13</v>
      </c>
      <c r="G27" s="326">
        <f t="shared" si="0"/>
        <v>100.05611124664553</v>
      </c>
    </row>
    <row r="28" spans="1:7" ht="39" thickBot="1">
      <c r="A28" s="193" t="s">
        <v>515</v>
      </c>
      <c r="B28" s="207" t="s">
        <v>417</v>
      </c>
      <c r="C28" s="278">
        <f>638.9-100-129</f>
        <v>409.9</v>
      </c>
      <c r="D28" s="278">
        <v>410.13</v>
      </c>
      <c r="G28" s="331">
        <f t="shared" si="0"/>
        <v>100.05611124664553</v>
      </c>
    </row>
    <row r="29" spans="1:7" ht="13.5" thickBot="1">
      <c r="A29" s="193" t="s">
        <v>418</v>
      </c>
      <c r="B29" s="208" t="s">
        <v>419</v>
      </c>
      <c r="C29" s="279">
        <f>C30+C31</f>
        <v>6144.9</v>
      </c>
      <c r="D29" s="279">
        <f>D30+D31</f>
        <v>6183.61</v>
      </c>
      <c r="G29" s="332">
        <f t="shared" si="0"/>
        <v>100.62995329460203</v>
      </c>
    </row>
    <row r="30" spans="1:7" ht="12.75">
      <c r="A30" s="193" t="s">
        <v>420</v>
      </c>
      <c r="B30" s="209" t="s">
        <v>421</v>
      </c>
      <c r="C30" s="280">
        <f>550+150+93</f>
        <v>793</v>
      </c>
      <c r="D30" s="280">
        <v>793.28</v>
      </c>
      <c r="G30" s="333">
        <f t="shared" si="0"/>
        <v>100.03530895334174</v>
      </c>
    </row>
    <row r="31" spans="1:7" ht="12.75">
      <c r="A31" s="193" t="s">
        <v>422</v>
      </c>
      <c r="B31" s="210" t="s">
        <v>423</v>
      </c>
      <c r="C31" s="281">
        <f>4332.9+195+824</f>
        <v>5351.9</v>
      </c>
      <c r="D31" s="281">
        <v>5390.33</v>
      </c>
      <c r="G31" s="334">
        <f t="shared" si="0"/>
        <v>100.7180627440722</v>
      </c>
    </row>
    <row r="32" spans="1:7" ht="12.75">
      <c r="A32" s="193" t="s">
        <v>424</v>
      </c>
      <c r="B32" s="210" t="s">
        <v>425</v>
      </c>
      <c r="C32" s="282">
        <f>C33+C34</f>
        <v>4590</v>
      </c>
      <c r="D32" s="282">
        <f>D33+D34</f>
        <v>4593.360000000001</v>
      </c>
      <c r="G32" s="329">
        <f t="shared" si="0"/>
        <v>100.07320261437911</v>
      </c>
    </row>
    <row r="33" spans="1:7" ht="89.25">
      <c r="A33" s="193" t="s">
        <v>544</v>
      </c>
      <c r="B33" s="210" t="s">
        <v>555</v>
      </c>
      <c r="C33" s="281">
        <v>2917</v>
      </c>
      <c r="D33" s="281">
        <v>2917.76</v>
      </c>
      <c r="G33" s="328">
        <f t="shared" si="0"/>
        <v>100.02605416523826</v>
      </c>
    </row>
    <row r="34" spans="1:7" ht="51.75" thickBot="1">
      <c r="A34" s="193" t="s">
        <v>545</v>
      </c>
      <c r="B34" s="309" t="s">
        <v>548</v>
      </c>
      <c r="C34" s="283">
        <v>1673</v>
      </c>
      <c r="D34" s="283">
        <v>1675.6</v>
      </c>
      <c r="G34" s="328">
        <f t="shared" si="0"/>
        <v>100.15540944411237</v>
      </c>
    </row>
    <row r="35" spans="1:7" ht="51.75" thickBot="1">
      <c r="A35" s="191" t="s">
        <v>516</v>
      </c>
      <c r="B35" s="211" t="s">
        <v>521</v>
      </c>
      <c r="C35" s="270">
        <f>C36</f>
        <v>524</v>
      </c>
      <c r="D35" s="270">
        <f>D36</f>
        <v>524.25</v>
      </c>
      <c r="G35" s="320">
        <f t="shared" si="0"/>
        <v>100.04770992366412</v>
      </c>
    </row>
    <row r="36" spans="1:7" ht="25.5">
      <c r="A36" s="193" t="s">
        <v>517</v>
      </c>
      <c r="B36" s="218" t="s">
        <v>520</v>
      </c>
      <c r="C36" s="271">
        <f>C37</f>
        <v>524</v>
      </c>
      <c r="D36" s="271">
        <v>524.25</v>
      </c>
      <c r="G36" s="323">
        <f t="shared" si="0"/>
        <v>100.04770992366412</v>
      </c>
    </row>
    <row r="37" spans="1:7" ht="51.75" thickBot="1">
      <c r="A37" s="267" t="s">
        <v>518</v>
      </c>
      <c r="B37" s="197" t="s">
        <v>519</v>
      </c>
      <c r="C37" s="273">
        <v>524</v>
      </c>
      <c r="D37" s="273">
        <v>524.25</v>
      </c>
      <c r="G37" s="323">
        <f t="shared" si="0"/>
        <v>100.04770992366412</v>
      </c>
    </row>
    <row r="38" spans="1:7" ht="39" thickBot="1">
      <c r="A38" s="189" t="s">
        <v>426</v>
      </c>
      <c r="B38" s="211" t="s">
        <v>427</v>
      </c>
      <c r="C38" s="270">
        <f>C39+C40+C41+C42</f>
        <v>22458</v>
      </c>
      <c r="D38" s="270">
        <f>D39+D40+D41+D42</f>
        <v>22460.32</v>
      </c>
      <c r="E38" s="184">
        <f>E39+E40+E41+E42</f>
        <v>18150</v>
      </c>
      <c r="F38" s="198">
        <f>D38-E38</f>
        <v>4310.32</v>
      </c>
      <c r="G38" s="320">
        <f t="shared" si="0"/>
        <v>100.01033039451421</v>
      </c>
    </row>
    <row r="39" spans="1:7" ht="76.5">
      <c r="A39" s="212" t="s">
        <v>428</v>
      </c>
      <c r="B39" s="213" t="s">
        <v>429</v>
      </c>
      <c r="C39" s="280">
        <f>4725+439</f>
        <v>5164</v>
      </c>
      <c r="D39" s="280">
        <v>5165.15</v>
      </c>
      <c r="E39" s="184">
        <v>3250</v>
      </c>
      <c r="G39" s="327">
        <f t="shared" si="0"/>
        <v>100.0222695584818</v>
      </c>
    </row>
    <row r="40" spans="1:7" ht="76.5">
      <c r="A40" s="193" t="s">
        <v>430</v>
      </c>
      <c r="B40" s="214" t="s">
        <v>431</v>
      </c>
      <c r="C40" s="281">
        <f>200-93</f>
        <v>107</v>
      </c>
      <c r="D40" s="281">
        <v>106.75</v>
      </c>
      <c r="E40" s="184">
        <v>200</v>
      </c>
      <c r="G40" s="327">
        <f t="shared" si="0"/>
        <v>99.76635514018692</v>
      </c>
    </row>
    <row r="41" spans="1:7" ht="63.75">
      <c r="A41" s="193" t="s">
        <v>432</v>
      </c>
      <c r="B41" s="215" t="s">
        <v>433</v>
      </c>
      <c r="C41" s="281">
        <f>13400+2332</f>
        <v>15732</v>
      </c>
      <c r="D41" s="281">
        <v>15732.65</v>
      </c>
      <c r="E41" s="184">
        <v>13400</v>
      </c>
      <c r="G41" s="327">
        <f t="shared" si="0"/>
        <v>100.00413170607678</v>
      </c>
    </row>
    <row r="42" spans="1:7" ht="77.25" thickBot="1">
      <c r="A42" s="193" t="s">
        <v>434</v>
      </c>
      <c r="B42" s="213" t="s">
        <v>435</v>
      </c>
      <c r="C42" s="283">
        <f>1300+155</f>
        <v>1455</v>
      </c>
      <c r="D42" s="283">
        <v>1455.77</v>
      </c>
      <c r="E42" s="184">
        <v>1300</v>
      </c>
      <c r="G42" s="327">
        <f t="shared" si="0"/>
        <v>100.05292096219931</v>
      </c>
    </row>
    <row r="43" spans="1:7" ht="39" thickBot="1">
      <c r="A43" s="191" t="s">
        <v>436</v>
      </c>
      <c r="B43" s="211" t="s">
        <v>437</v>
      </c>
      <c r="C43" s="270">
        <f>C44</f>
        <v>9.7</v>
      </c>
      <c r="D43" s="270">
        <f>D44</f>
        <v>9.72</v>
      </c>
      <c r="G43" s="320">
        <f t="shared" si="0"/>
        <v>100.20618556701034</v>
      </c>
    </row>
    <row r="44" spans="1:7" ht="26.25" thickBot="1">
      <c r="A44" s="193" t="s">
        <v>438</v>
      </c>
      <c r="B44" s="214" t="s">
        <v>439</v>
      </c>
      <c r="C44" s="271">
        <v>9.7</v>
      </c>
      <c r="D44" s="271">
        <v>9.72</v>
      </c>
      <c r="G44" s="321">
        <f t="shared" si="0"/>
        <v>100.20618556701034</v>
      </c>
    </row>
    <row r="45" spans="1:7" ht="13.5" thickBot="1">
      <c r="A45" s="191" t="s">
        <v>440</v>
      </c>
      <c r="B45" s="192" t="s">
        <v>441</v>
      </c>
      <c r="C45" s="270">
        <f>C46+C47</f>
        <v>3301.7799999999997</v>
      </c>
      <c r="D45" s="270">
        <f>D46+D47</f>
        <v>3302.1400000000003</v>
      </c>
      <c r="G45" s="320">
        <f t="shared" si="0"/>
        <v>100.01090320978383</v>
      </c>
    </row>
    <row r="46" spans="1:7" ht="76.5">
      <c r="A46" s="193" t="s">
        <v>442</v>
      </c>
      <c r="B46" s="213" t="s">
        <v>443</v>
      </c>
      <c r="C46" s="271">
        <f>1400+50</f>
        <v>1450</v>
      </c>
      <c r="D46" s="271">
        <v>1450.16</v>
      </c>
      <c r="G46" s="321">
        <f t="shared" si="0"/>
        <v>100.01103448275863</v>
      </c>
    </row>
    <row r="47" spans="1:7" ht="51">
      <c r="A47" s="193" t="s">
        <v>444</v>
      </c>
      <c r="B47" s="216" t="s">
        <v>445</v>
      </c>
      <c r="C47" s="272">
        <f>C50+C51</f>
        <v>1851.78</v>
      </c>
      <c r="D47" s="272">
        <v>1851.98</v>
      </c>
      <c r="E47" s="184">
        <f>E50+E51</f>
        <v>800</v>
      </c>
      <c r="F47" s="198">
        <f>D47-E47</f>
        <v>1051.98</v>
      </c>
      <c r="G47" s="321">
        <f t="shared" si="0"/>
        <v>100.01080041905625</v>
      </c>
    </row>
    <row r="48" spans="1:7" ht="12.75" hidden="1">
      <c r="A48" s="191" t="s">
        <v>446</v>
      </c>
      <c r="B48" s="217" t="s">
        <v>447</v>
      </c>
      <c r="C48" s="284">
        <f>C49</f>
        <v>0</v>
      </c>
      <c r="D48" s="284">
        <f>D49</f>
        <v>0</v>
      </c>
      <c r="G48" s="321" t="e">
        <f t="shared" si="0"/>
        <v>#DIV/0!</v>
      </c>
    </row>
    <row r="49" spans="1:7" ht="38.25" hidden="1">
      <c r="A49" s="193" t="s">
        <v>448</v>
      </c>
      <c r="B49" s="202" t="s">
        <v>449</v>
      </c>
      <c r="C49" s="272"/>
      <c r="D49" s="272"/>
      <c r="G49" s="321" t="e">
        <f t="shared" si="0"/>
        <v>#DIV/0!</v>
      </c>
    </row>
    <row r="50" spans="1:7" ht="51">
      <c r="A50" s="193" t="s">
        <v>450</v>
      </c>
      <c r="B50" s="214" t="s">
        <v>451</v>
      </c>
      <c r="C50" s="272">
        <f>1070+100+173</f>
        <v>1343</v>
      </c>
      <c r="D50" s="272">
        <v>1343.2</v>
      </c>
      <c r="E50" s="184">
        <v>700</v>
      </c>
      <c r="G50" s="321">
        <f t="shared" si="0"/>
        <v>100.01489203276248</v>
      </c>
    </row>
    <row r="51" spans="1:7" ht="51.75" thickBot="1">
      <c r="A51" s="193" t="s">
        <v>452</v>
      </c>
      <c r="B51" s="215" t="s">
        <v>453</v>
      </c>
      <c r="C51" s="273">
        <f>100+42+186.78+36+144</f>
        <v>508.78</v>
      </c>
      <c r="D51" s="273">
        <v>508.78</v>
      </c>
      <c r="E51" s="184">
        <v>100</v>
      </c>
      <c r="G51" s="321">
        <f t="shared" si="0"/>
        <v>100</v>
      </c>
    </row>
    <row r="52" spans="1:7" ht="13.5" thickBot="1">
      <c r="A52" s="191" t="s">
        <v>454</v>
      </c>
      <c r="B52" s="192" t="s">
        <v>455</v>
      </c>
      <c r="C52" s="270">
        <f>C53+C54</f>
        <v>249.2</v>
      </c>
      <c r="D52" s="270">
        <f>D53+D54</f>
        <v>250.26999999999998</v>
      </c>
      <c r="G52" s="320">
        <f t="shared" si="0"/>
        <v>100.42937399678974</v>
      </c>
    </row>
    <row r="53" spans="1:7" ht="51">
      <c r="A53" s="193" t="s">
        <v>456</v>
      </c>
      <c r="B53" s="218" t="s">
        <v>457</v>
      </c>
      <c r="C53" s="271">
        <f>45+26.2+20+68</f>
        <v>159.2</v>
      </c>
      <c r="D53" s="271">
        <v>159.41</v>
      </c>
      <c r="G53" s="321">
        <f t="shared" si="0"/>
        <v>100.1319095477387</v>
      </c>
    </row>
    <row r="54" spans="1:7" ht="39" thickBot="1">
      <c r="A54" s="193" t="s">
        <v>458</v>
      </c>
      <c r="B54" s="219" t="s">
        <v>459</v>
      </c>
      <c r="C54" s="273">
        <f>20+21+30+19</f>
        <v>90</v>
      </c>
      <c r="D54" s="273">
        <v>90.86</v>
      </c>
      <c r="G54" s="321">
        <f t="shared" si="0"/>
        <v>100.95555555555555</v>
      </c>
    </row>
    <row r="55" spans="1:7" ht="13.5" thickBot="1">
      <c r="A55" s="191" t="s">
        <v>460</v>
      </c>
      <c r="B55" s="192" t="s">
        <v>461</v>
      </c>
      <c r="C55" s="270">
        <f>C56</f>
        <v>15</v>
      </c>
      <c r="D55" s="270">
        <f>D56</f>
        <v>15</v>
      </c>
      <c r="G55" s="320">
        <f t="shared" si="0"/>
        <v>100</v>
      </c>
    </row>
    <row r="56" spans="1:7" ht="26.25" thickBot="1">
      <c r="A56" s="193" t="s">
        <v>462</v>
      </c>
      <c r="B56" s="214" t="s">
        <v>463</v>
      </c>
      <c r="C56" s="276">
        <v>15</v>
      </c>
      <c r="D56" s="276">
        <v>15</v>
      </c>
      <c r="G56" s="325">
        <f t="shared" si="0"/>
        <v>100</v>
      </c>
    </row>
    <row r="57" spans="1:7" ht="17.25" thickBot="1">
      <c r="A57" s="191" t="s">
        <v>464</v>
      </c>
      <c r="B57" s="220" t="s">
        <v>465</v>
      </c>
      <c r="C57" s="269">
        <f>'Пр.3 ФП'!C10</f>
        <v>67779.59554</v>
      </c>
      <c r="D57" s="269">
        <v>67752.62</v>
      </c>
      <c r="G57" s="319">
        <f t="shared" si="0"/>
        <v>99.9602010903354</v>
      </c>
    </row>
    <row r="58" spans="1:7" ht="19.5" thickBot="1">
      <c r="A58" s="221"/>
      <c r="B58" s="222" t="s">
        <v>466</v>
      </c>
      <c r="C58" s="370">
        <f>C11+C57</f>
        <v>114349.27553999999</v>
      </c>
      <c r="D58" s="370">
        <f>D11+D57</f>
        <v>114382.81</v>
      </c>
      <c r="G58" s="319">
        <f t="shared" si="0"/>
        <v>100.02932634233287</v>
      </c>
    </row>
    <row r="59" spans="3:7" ht="12.75">
      <c r="C59" s="285"/>
      <c r="D59" s="285"/>
      <c r="G59" s="330"/>
    </row>
    <row r="60" spans="3:9" ht="12.75">
      <c r="C60" s="293"/>
      <c r="I60" s="371"/>
    </row>
  </sheetData>
  <sheetProtection/>
  <mergeCells count="5">
    <mergeCell ref="B9:B10"/>
    <mergeCell ref="A7:D7"/>
    <mergeCell ref="C9:C10"/>
    <mergeCell ref="D9:D10"/>
    <mergeCell ref="G9:G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1">
      <selection activeCell="G5" sqref="G5"/>
    </sheetView>
  </sheetViews>
  <sheetFormatPr defaultColWidth="97.8515625" defaultRowHeight="15"/>
  <cols>
    <col min="1" max="1" width="20.57421875" style="227" customWidth="1"/>
    <col min="2" max="2" width="56.8515625" style="253" customWidth="1"/>
    <col min="3" max="3" width="14.57421875" style="292" customWidth="1"/>
    <col min="4" max="4" width="14.8515625" style="226" hidden="1" customWidth="1"/>
    <col min="5" max="5" width="14.140625" style="227" hidden="1" customWidth="1"/>
    <col min="6" max="6" width="14.57421875" style="292" customWidth="1"/>
    <col min="7" max="7" width="9.57421875" style="292" customWidth="1"/>
    <col min="8" max="8" width="20.00390625" style="227" customWidth="1"/>
    <col min="9" max="241" width="10.00390625" style="227" customWidth="1"/>
    <col min="242" max="242" width="25.421875" style="227" customWidth="1"/>
    <col min="243" max="16384" width="97.8515625" style="227" customWidth="1"/>
  </cols>
  <sheetData>
    <row r="1" spans="2:7" s="223" customFormat="1" ht="15">
      <c r="B1" s="224"/>
      <c r="C1" s="287"/>
      <c r="D1" s="225"/>
      <c r="F1" s="287"/>
      <c r="G1" s="287" t="s">
        <v>58</v>
      </c>
    </row>
    <row r="2" spans="2:7" s="223" customFormat="1" ht="15">
      <c r="B2" s="224"/>
      <c r="C2" s="287"/>
      <c r="D2" s="225"/>
      <c r="F2" s="287"/>
      <c r="G2" s="287" t="s">
        <v>57</v>
      </c>
    </row>
    <row r="3" spans="2:7" s="223" customFormat="1" ht="12.75">
      <c r="B3" s="224"/>
      <c r="C3" s="88"/>
      <c r="D3" s="225"/>
      <c r="F3" s="88"/>
      <c r="G3" s="88" t="s">
        <v>121</v>
      </c>
    </row>
    <row r="4" spans="2:7" s="223" customFormat="1" ht="12.75">
      <c r="B4" s="224"/>
      <c r="C4" s="88"/>
      <c r="D4" s="225"/>
      <c r="F4" s="88"/>
      <c r="G4" s="88" t="s">
        <v>570</v>
      </c>
    </row>
    <row r="5" spans="2:7" s="223" customFormat="1" ht="15">
      <c r="B5" s="224"/>
      <c r="C5" s="287"/>
      <c r="D5" s="225"/>
      <c r="F5" s="287"/>
      <c r="G5" s="287" t="s">
        <v>467</v>
      </c>
    </row>
    <row r="6" spans="2:7" s="223" customFormat="1" ht="15">
      <c r="B6" s="224"/>
      <c r="C6" s="288"/>
      <c r="D6" s="225"/>
      <c r="F6" s="288"/>
      <c r="G6" s="288"/>
    </row>
    <row r="7" spans="1:7" ht="84.75" customHeight="1">
      <c r="A7" s="416" t="s">
        <v>556</v>
      </c>
      <c r="B7" s="416"/>
      <c r="C7" s="416"/>
      <c r="D7" s="416"/>
      <c r="E7" s="416"/>
      <c r="F7" s="416"/>
      <c r="G7" s="416"/>
    </row>
    <row r="8" spans="1:7" ht="23.25" customHeight="1" thickBot="1">
      <c r="A8" s="228"/>
      <c r="B8" s="229"/>
      <c r="C8" s="289"/>
      <c r="F8" s="289"/>
      <c r="G8" s="289"/>
    </row>
    <row r="9" spans="1:7" ht="26.25" thickBot="1">
      <c r="A9" s="230" t="s">
        <v>468</v>
      </c>
      <c r="B9" s="231" t="s">
        <v>385</v>
      </c>
      <c r="C9" s="290" t="s">
        <v>552</v>
      </c>
      <c r="F9" s="290" t="s">
        <v>553</v>
      </c>
      <c r="G9" s="337" t="s">
        <v>557</v>
      </c>
    </row>
    <row r="10" spans="1:8" ht="49.5">
      <c r="A10" s="232" t="s">
        <v>469</v>
      </c>
      <c r="B10" s="233" t="s">
        <v>470</v>
      </c>
      <c r="C10" s="296">
        <f>C12+C19+C42+C51</f>
        <v>67779.59554</v>
      </c>
      <c r="F10" s="296">
        <f>F12+F19+F42+F51+F63</f>
        <v>67752.62259</v>
      </c>
      <c r="G10" s="296">
        <f>F10/C10*100</f>
        <v>99.9602049115444</v>
      </c>
      <c r="H10" s="226"/>
    </row>
    <row r="11" spans="1:7" ht="14.25" customHeight="1">
      <c r="A11" s="234"/>
      <c r="B11" s="235"/>
      <c r="C11" s="297"/>
      <c r="F11" s="297"/>
      <c r="G11" s="297"/>
    </row>
    <row r="12" spans="1:7" ht="47.25">
      <c r="A12" s="234" t="s">
        <v>471</v>
      </c>
      <c r="B12" s="236" t="s">
        <v>472</v>
      </c>
      <c r="C12" s="298">
        <f>C13+C15</f>
        <v>17579</v>
      </c>
      <c r="F12" s="298">
        <f>F13+F15</f>
        <v>17579</v>
      </c>
      <c r="G12" s="298">
        <f aca="true" t="shared" si="0" ref="G12:G17">F12/C12*100</f>
        <v>100</v>
      </c>
    </row>
    <row r="13" spans="1:7" ht="15.75">
      <c r="A13" s="234" t="s">
        <v>473</v>
      </c>
      <c r="B13" s="237" t="s">
        <v>474</v>
      </c>
      <c r="C13" s="299">
        <f>C16+C17</f>
        <v>17579</v>
      </c>
      <c r="F13" s="299">
        <f>F16+F17</f>
        <v>17579</v>
      </c>
      <c r="G13" s="299">
        <f t="shared" si="0"/>
        <v>100</v>
      </c>
    </row>
    <row r="14" spans="1:7" ht="17.25" hidden="1" thickBot="1">
      <c r="A14" s="234"/>
      <c r="B14" s="237"/>
      <c r="C14" s="300"/>
      <c r="F14" s="300"/>
      <c r="G14" s="296" t="e">
        <f t="shared" si="0"/>
        <v>#DIV/0!</v>
      </c>
    </row>
    <row r="15" spans="1:7" ht="17.25" hidden="1" thickBot="1">
      <c r="A15" s="234" t="s">
        <v>475</v>
      </c>
      <c r="B15" s="237" t="s">
        <v>476</v>
      </c>
      <c r="C15" s="301">
        <v>0</v>
      </c>
      <c r="F15" s="301">
        <v>0</v>
      </c>
      <c r="G15" s="296" t="e">
        <f t="shared" si="0"/>
        <v>#DIV/0!</v>
      </c>
    </row>
    <row r="16" spans="1:7" ht="15.75">
      <c r="A16" s="234"/>
      <c r="B16" s="238" t="s">
        <v>477</v>
      </c>
      <c r="C16" s="301">
        <v>13859.7</v>
      </c>
      <c r="F16" s="301">
        <v>13859.7</v>
      </c>
      <c r="G16" s="301">
        <f t="shared" si="0"/>
        <v>100</v>
      </c>
    </row>
    <row r="17" spans="1:7" ht="15.75">
      <c r="A17" s="234"/>
      <c r="B17" s="238" t="s">
        <v>478</v>
      </c>
      <c r="C17" s="301">
        <v>3719.3</v>
      </c>
      <c r="F17" s="301">
        <v>3719.3</v>
      </c>
      <c r="G17" s="301">
        <f t="shared" si="0"/>
        <v>100</v>
      </c>
    </row>
    <row r="18" spans="1:7" ht="12.75">
      <c r="A18" s="239"/>
      <c r="B18" s="237"/>
      <c r="C18" s="300"/>
      <c r="F18" s="300"/>
      <c r="G18" s="300"/>
    </row>
    <row r="19" spans="1:7" ht="47.25">
      <c r="A19" s="234" t="s">
        <v>471</v>
      </c>
      <c r="B19" s="236" t="s">
        <v>479</v>
      </c>
      <c r="C19" s="298">
        <f>C21+C23+C25+C35+C29+C31+C33+C27+C41+C37+C39</f>
        <v>22671.36423</v>
      </c>
      <c r="F19" s="298">
        <f>F21+F23+F25+F35+F29+F31+F33+F27+F41+F37+F39</f>
        <v>22661.678229999998</v>
      </c>
      <c r="G19" s="298">
        <f>F19/C19*100</f>
        <v>99.95727650130915</v>
      </c>
    </row>
    <row r="20" spans="1:8" ht="15.75">
      <c r="A20" s="240"/>
      <c r="B20" s="236"/>
      <c r="C20" s="298"/>
      <c r="F20" s="298"/>
      <c r="G20" s="298"/>
      <c r="H20" s="226"/>
    </row>
    <row r="21" spans="1:7" ht="77.25" customHeight="1">
      <c r="A21" s="239" t="s">
        <v>480</v>
      </c>
      <c r="B21" s="242" t="s">
        <v>481</v>
      </c>
      <c r="C21" s="300">
        <f>1050.57729-8.21406</f>
        <v>1042.36323</v>
      </c>
      <c r="D21" s="226">
        <v>13420588</v>
      </c>
      <c r="F21" s="300">
        <f>1050.57729-8.21406</f>
        <v>1042.36323</v>
      </c>
      <c r="G21" s="300">
        <f>F21/C21*100</f>
        <v>100</v>
      </c>
    </row>
    <row r="22" spans="1:7" ht="12.75">
      <c r="A22" s="239"/>
      <c r="B22" s="237"/>
      <c r="C22" s="300"/>
      <c r="F22" s="300"/>
      <c r="G22" s="300"/>
    </row>
    <row r="23" spans="1:7" ht="51" hidden="1">
      <c r="A23" s="239" t="s">
        <v>482</v>
      </c>
      <c r="B23" s="244" t="s">
        <v>483</v>
      </c>
      <c r="C23" s="300">
        <v>0</v>
      </c>
      <c r="D23" s="226">
        <v>11297761.2</v>
      </c>
      <c r="F23" s="300">
        <v>0</v>
      </c>
      <c r="G23" s="300">
        <v>0</v>
      </c>
    </row>
    <row r="24" spans="1:7" ht="12.75" hidden="1">
      <c r="A24" s="243"/>
      <c r="B24" s="244"/>
      <c r="C24" s="300"/>
      <c r="F24" s="300"/>
      <c r="G24" s="300"/>
    </row>
    <row r="25" spans="1:7" ht="58.5" customHeight="1">
      <c r="A25" s="245" t="s">
        <v>484</v>
      </c>
      <c r="B25" s="242" t="s">
        <v>485</v>
      </c>
      <c r="C25" s="300">
        <f>1408.5+352.1</f>
        <v>1760.6</v>
      </c>
      <c r="F25" s="300">
        <f>1408.5+352.1</f>
        <v>1760.6</v>
      </c>
      <c r="G25" s="300">
        <f>F25/C25*100</f>
        <v>100</v>
      </c>
    </row>
    <row r="26" spans="1:7" ht="12" customHeight="1">
      <c r="A26" s="239"/>
      <c r="B26" s="246"/>
      <c r="C26" s="300"/>
      <c r="F26" s="300"/>
      <c r="G26" s="300"/>
    </row>
    <row r="27" spans="1:7" ht="56.25" customHeight="1" hidden="1">
      <c r="A27" s="245" t="s">
        <v>486</v>
      </c>
      <c r="B27" s="242" t="s">
        <v>485</v>
      </c>
      <c r="C27" s="300">
        <v>0</v>
      </c>
      <c r="F27" s="300">
        <v>0</v>
      </c>
      <c r="G27" s="300">
        <v>0</v>
      </c>
    </row>
    <row r="28" spans="1:7" ht="12" customHeight="1" hidden="1">
      <c r="A28" s="239"/>
      <c r="B28" s="246"/>
      <c r="C28" s="300"/>
      <c r="F28" s="300"/>
      <c r="G28" s="300"/>
    </row>
    <row r="29" spans="1:7" ht="28.5" customHeight="1">
      <c r="A29" s="245" t="s">
        <v>487</v>
      </c>
      <c r="B29" s="242" t="s">
        <v>488</v>
      </c>
      <c r="C29" s="300">
        <v>645</v>
      </c>
      <c r="F29" s="300">
        <v>645</v>
      </c>
      <c r="G29" s="300">
        <f>F29/C29*100</f>
        <v>100</v>
      </c>
    </row>
    <row r="30" spans="1:7" ht="11.25" customHeight="1">
      <c r="A30" s="245"/>
      <c r="B30" s="242"/>
      <c r="C30" s="300"/>
      <c r="F30" s="300"/>
      <c r="G30" s="300"/>
    </row>
    <row r="31" spans="1:7" ht="28.5" customHeight="1">
      <c r="A31" s="245" t="s">
        <v>489</v>
      </c>
      <c r="B31" s="242" t="s">
        <v>490</v>
      </c>
      <c r="C31" s="300">
        <v>3791.885</v>
      </c>
      <c r="F31" s="300">
        <v>3791.885</v>
      </c>
      <c r="G31" s="300">
        <f>F31/C31*100</f>
        <v>100</v>
      </c>
    </row>
    <row r="32" spans="1:7" ht="12" customHeight="1">
      <c r="A32" s="239"/>
      <c r="B32" s="246"/>
      <c r="C32" s="300"/>
      <c r="F32" s="300"/>
      <c r="G32" s="300"/>
    </row>
    <row r="33" spans="1:7" ht="47.25" customHeight="1">
      <c r="A33" s="243" t="s">
        <v>491</v>
      </c>
      <c r="B33" s="242" t="s">
        <v>492</v>
      </c>
      <c r="C33" s="300">
        <v>1835.964</v>
      </c>
      <c r="F33" s="300">
        <v>1835.964</v>
      </c>
      <c r="G33" s="300">
        <f>F33/C33*100</f>
        <v>100</v>
      </c>
    </row>
    <row r="34" spans="1:7" ht="12" customHeight="1">
      <c r="A34" s="239"/>
      <c r="B34" s="246"/>
      <c r="C34" s="300"/>
      <c r="F34" s="300"/>
      <c r="G34" s="300"/>
    </row>
    <row r="35" spans="1:7" ht="25.5">
      <c r="A35" s="243" t="s">
        <v>491</v>
      </c>
      <c r="B35" s="242" t="s">
        <v>532</v>
      </c>
      <c r="C35" s="300">
        <f>4761.801-629.271+7801.26</f>
        <v>11933.79</v>
      </c>
      <c r="F35" s="300">
        <v>11924.104</v>
      </c>
      <c r="G35" s="300">
        <f>F35/C35*100</f>
        <v>99.9188355082501</v>
      </c>
    </row>
    <row r="36" spans="1:7" ht="12" customHeight="1">
      <c r="A36" s="239"/>
      <c r="B36" s="246"/>
      <c r="C36" s="300"/>
      <c r="F36" s="300"/>
      <c r="G36" s="300"/>
    </row>
    <row r="37" spans="1:7" ht="12" customHeight="1">
      <c r="A37" s="243" t="s">
        <v>491</v>
      </c>
      <c r="B37" s="246" t="s">
        <v>525</v>
      </c>
      <c r="C37" s="300">
        <v>1258.9</v>
      </c>
      <c r="F37" s="300">
        <v>1258.9</v>
      </c>
      <c r="G37" s="300">
        <f>F37/C37*100</f>
        <v>100</v>
      </c>
    </row>
    <row r="38" spans="1:7" ht="12.75">
      <c r="A38" s="234"/>
      <c r="B38" s="235"/>
      <c r="C38" s="302"/>
      <c r="F38" s="302"/>
      <c r="G38" s="302"/>
    </row>
    <row r="39" spans="1:7" ht="33" customHeight="1">
      <c r="A39" s="243" t="s">
        <v>491</v>
      </c>
      <c r="B39" s="246" t="s">
        <v>538</v>
      </c>
      <c r="C39" s="300">
        <v>270.672</v>
      </c>
      <c r="F39" s="300">
        <v>270.672</v>
      </c>
      <c r="G39" s="300">
        <f>F39/C39*100</f>
        <v>100</v>
      </c>
    </row>
    <row r="40" spans="1:7" ht="12" customHeight="1">
      <c r="A40" s="243"/>
      <c r="B40" s="246"/>
      <c r="C40" s="300"/>
      <c r="F40" s="300"/>
      <c r="G40" s="300"/>
    </row>
    <row r="41" spans="1:7" ht="127.5">
      <c r="A41" s="243" t="s">
        <v>491</v>
      </c>
      <c r="B41" s="242" t="s">
        <v>510</v>
      </c>
      <c r="C41" s="300">
        <v>132.19</v>
      </c>
      <c r="F41" s="300">
        <v>132.19</v>
      </c>
      <c r="G41" s="300">
        <f>F41/C41*100</f>
        <v>100</v>
      </c>
    </row>
    <row r="42" spans="1:7" ht="47.25">
      <c r="A42" s="234" t="s">
        <v>471</v>
      </c>
      <c r="B42" s="236" t="s">
        <v>493</v>
      </c>
      <c r="C42" s="298">
        <f>C44+C47</f>
        <v>1519.0300000000002</v>
      </c>
      <c r="F42" s="298">
        <f>F44+F47</f>
        <v>1519.0300000000002</v>
      </c>
      <c r="G42" s="298">
        <f>G44+G47</f>
        <v>200</v>
      </c>
    </row>
    <row r="43" spans="1:7" ht="12.75">
      <c r="A43" s="239"/>
      <c r="B43" s="237"/>
      <c r="C43" s="300"/>
      <c r="F43" s="300"/>
      <c r="G43" s="300"/>
    </row>
    <row r="44" spans="1:7" ht="25.5">
      <c r="A44" s="241" t="s">
        <v>494</v>
      </c>
      <c r="B44" s="244" t="s">
        <v>495</v>
      </c>
      <c r="C44" s="300">
        <f>C45</f>
        <v>503.84000000000003</v>
      </c>
      <c r="F44" s="300">
        <f>F45</f>
        <v>503.84000000000003</v>
      </c>
      <c r="G44" s="300">
        <f>F44/C44*100</f>
        <v>100</v>
      </c>
    </row>
    <row r="45" spans="1:7" ht="25.5">
      <c r="A45" s="243"/>
      <c r="B45" s="244" t="s">
        <v>513</v>
      </c>
      <c r="C45" s="300">
        <f>499.757+11.147-51.104+44.04</f>
        <v>503.84000000000003</v>
      </c>
      <c r="F45" s="300">
        <f>499.757+11.147-51.104+44.04</f>
        <v>503.84000000000003</v>
      </c>
      <c r="G45" s="300">
        <f>F45/C45*100</f>
        <v>100</v>
      </c>
    </row>
    <row r="46" spans="1:7" ht="12.75">
      <c r="A46" s="239"/>
      <c r="B46" s="244"/>
      <c r="C46" s="300"/>
      <c r="F46" s="300"/>
      <c r="G46" s="300"/>
    </row>
    <row r="47" spans="1:7" ht="25.5">
      <c r="A47" s="241" t="s">
        <v>496</v>
      </c>
      <c r="B47" s="244" t="s">
        <v>497</v>
      </c>
      <c r="C47" s="300">
        <f>C48+C49</f>
        <v>1015.19</v>
      </c>
      <c r="F47" s="300">
        <f>F48+F49</f>
        <v>1015.19</v>
      </c>
      <c r="G47" s="300">
        <f>F47/C47*100</f>
        <v>100</v>
      </c>
    </row>
    <row r="48" spans="1:7" ht="25.5">
      <c r="A48" s="247"/>
      <c r="B48" s="244" t="s">
        <v>498</v>
      </c>
      <c r="C48" s="300">
        <v>502.1</v>
      </c>
      <c r="F48" s="300">
        <v>502.1</v>
      </c>
      <c r="G48" s="300">
        <f>F48/C48*100</f>
        <v>100</v>
      </c>
    </row>
    <row r="49" spans="1:7" ht="12.75">
      <c r="A49" s="243"/>
      <c r="B49" s="244" t="s">
        <v>499</v>
      </c>
      <c r="C49" s="300">
        <v>513.09</v>
      </c>
      <c r="F49" s="300">
        <v>513.09</v>
      </c>
      <c r="G49" s="300">
        <f>F49/C49*100</f>
        <v>100</v>
      </c>
    </row>
    <row r="50" spans="1:7" ht="12" customHeight="1">
      <c r="A50" s="239"/>
      <c r="B50" s="246"/>
      <c r="C50" s="300"/>
      <c r="F50" s="300"/>
      <c r="G50" s="300"/>
    </row>
    <row r="51" spans="1:7" s="250" customFormat="1" ht="15.75">
      <c r="A51" s="191" t="s">
        <v>500</v>
      </c>
      <c r="B51" s="248" t="s">
        <v>501</v>
      </c>
      <c r="C51" s="298">
        <f>C53</f>
        <v>26010.20131</v>
      </c>
      <c r="D51" s="249"/>
      <c r="F51" s="298">
        <f>F53</f>
        <v>25999.829130000002</v>
      </c>
      <c r="G51" s="298">
        <f>G53</f>
        <v>99.96012264620185</v>
      </c>
    </row>
    <row r="52" spans="1:7" ht="12" customHeight="1">
      <c r="A52" s="241"/>
      <c r="B52" s="246"/>
      <c r="C52" s="303"/>
      <c r="F52" s="303"/>
      <c r="G52" s="303"/>
    </row>
    <row r="53" spans="1:7" ht="12.75">
      <c r="A53" s="413" t="s">
        <v>502</v>
      </c>
      <c r="B53" s="251" t="s">
        <v>503</v>
      </c>
      <c r="C53" s="304">
        <f>C54+C55+C56+C57+C58+C59+C60+C61</f>
        <v>26010.20131</v>
      </c>
      <c r="D53" s="226">
        <v>16946641.8</v>
      </c>
      <c r="E53" s="411">
        <f>D53+D63+D64</f>
        <v>17630144.8</v>
      </c>
      <c r="F53" s="304">
        <f>F54+F55+F56+F57+F58+F59+F60+F61</f>
        <v>25999.829130000002</v>
      </c>
      <c r="G53" s="300">
        <f aca="true" t="shared" si="1" ref="G53:G61">F53/C53*100</f>
        <v>99.96012264620185</v>
      </c>
    </row>
    <row r="54" spans="1:7" ht="12.75" customHeight="1">
      <c r="A54" s="414"/>
      <c r="B54" s="251" t="s">
        <v>504</v>
      </c>
      <c r="C54" s="304">
        <v>470</v>
      </c>
      <c r="E54" s="412"/>
      <c r="F54" s="304">
        <v>470</v>
      </c>
      <c r="G54" s="300">
        <f t="shared" si="1"/>
        <v>100</v>
      </c>
    </row>
    <row r="55" spans="1:7" ht="26.25" customHeight="1">
      <c r="A55" s="414"/>
      <c r="B55" s="251" t="s">
        <v>509</v>
      </c>
      <c r="C55" s="304">
        <v>600</v>
      </c>
      <c r="E55" s="412"/>
      <c r="F55" s="304">
        <v>600</v>
      </c>
      <c r="G55" s="300">
        <f t="shared" si="1"/>
        <v>100</v>
      </c>
    </row>
    <row r="56" spans="1:7" ht="12.75" customHeight="1">
      <c r="A56" s="414"/>
      <c r="B56" s="251" t="s">
        <v>505</v>
      </c>
      <c r="C56" s="304">
        <v>500</v>
      </c>
      <c r="E56" s="412"/>
      <c r="F56" s="304">
        <v>500</v>
      </c>
      <c r="G56" s="300">
        <f t="shared" si="1"/>
        <v>100</v>
      </c>
    </row>
    <row r="57" spans="1:7" ht="12.75" customHeight="1">
      <c r="A57" s="414"/>
      <c r="B57" s="251" t="s">
        <v>528</v>
      </c>
      <c r="C57" s="304">
        <f>290+174.095</f>
        <v>464.095</v>
      </c>
      <c r="E57" s="412"/>
      <c r="F57" s="304">
        <f>290+174.095</f>
        <v>464.095</v>
      </c>
      <c r="G57" s="300">
        <f t="shared" si="1"/>
        <v>100</v>
      </c>
    </row>
    <row r="58" spans="1:7" ht="12.75" customHeight="1">
      <c r="A58" s="414"/>
      <c r="B58" s="251" t="s">
        <v>536</v>
      </c>
      <c r="C58" s="304">
        <v>1000</v>
      </c>
      <c r="E58" s="412"/>
      <c r="F58" s="304">
        <v>1000</v>
      </c>
      <c r="G58" s="300">
        <f t="shared" si="1"/>
        <v>100</v>
      </c>
    </row>
    <row r="59" spans="1:7" ht="12.75" customHeight="1">
      <c r="A59" s="415"/>
      <c r="B59" s="251" t="s">
        <v>506</v>
      </c>
      <c r="C59" s="300">
        <f>2387.41575+4385.75856</f>
        <v>6773.17431</v>
      </c>
      <c r="E59" s="412"/>
      <c r="F59" s="300">
        <v>6762.80213</v>
      </c>
      <c r="G59" s="300">
        <f t="shared" si="1"/>
        <v>99.84686382595105</v>
      </c>
    </row>
    <row r="60" spans="1:7" ht="12.75" customHeight="1">
      <c r="A60" s="413" t="s">
        <v>508</v>
      </c>
      <c r="B60" s="251" t="s">
        <v>537</v>
      </c>
      <c r="C60" s="300">
        <v>10000</v>
      </c>
      <c r="E60" s="412"/>
      <c r="F60" s="300">
        <v>10000</v>
      </c>
      <c r="G60" s="300">
        <f t="shared" si="1"/>
        <v>100</v>
      </c>
    </row>
    <row r="61" spans="1:7" ht="42.75" customHeight="1">
      <c r="A61" s="415"/>
      <c r="B61" s="251" t="s">
        <v>524</v>
      </c>
      <c r="C61" s="300">
        <v>6202.932</v>
      </c>
      <c r="E61" s="412"/>
      <c r="F61" s="300">
        <v>6202.932</v>
      </c>
      <c r="G61" s="300">
        <f t="shared" si="1"/>
        <v>100</v>
      </c>
    </row>
    <row r="62" spans="1:7" ht="9" customHeight="1">
      <c r="A62" s="310"/>
      <c r="B62" s="335"/>
      <c r="C62" s="304"/>
      <c r="E62" s="412"/>
      <c r="F62" s="304"/>
      <c r="G62" s="304"/>
    </row>
    <row r="63" spans="1:7" ht="27" customHeight="1" thickBot="1">
      <c r="A63" s="252" t="s">
        <v>507</v>
      </c>
      <c r="B63" s="336" t="s">
        <v>558</v>
      </c>
      <c r="C63" s="291"/>
      <c r="D63" s="226">
        <v>463503</v>
      </c>
      <c r="E63" s="412"/>
      <c r="F63" s="291">
        <v>-6.91477</v>
      </c>
      <c r="G63" s="291"/>
    </row>
    <row r="64" spans="4:5" ht="12.75">
      <c r="D64" s="226">
        <v>220000</v>
      </c>
      <c r="E64" s="412"/>
    </row>
    <row r="65" spans="1:12" s="253" customFormat="1" ht="12.75">
      <c r="A65" s="227"/>
      <c r="B65" s="254"/>
      <c r="C65" s="292"/>
      <c r="D65" s="226"/>
      <c r="E65" s="227"/>
      <c r="F65" s="292"/>
      <c r="G65" s="292"/>
      <c r="H65" s="227"/>
      <c r="I65" s="227"/>
      <c r="J65" s="227"/>
      <c r="K65" s="227"/>
      <c r="L65" s="227"/>
    </row>
    <row r="66" spans="1:12" s="253" customFormat="1" ht="12.75">
      <c r="A66" s="227"/>
      <c r="B66" s="254"/>
      <c r="C66" s="292"/>
      <c r="D66" s="226"/>
      <c r="E66" s="227"/>
      <c r="F66" s="292"/>
      <c r="G66" s="292"/>
      <c r="H66" s="227"/>
      <c r="I66" s="227"/>
      <c r="J66" s="227"/>
      <c r="K66" s="227"/>
      <c r="L66" s="227"/>
    </row>
    <row r="67" spans="1:12" s="253" customFormat="1" ht="12.75">
      <c r="A67" s="227"/>
      <c r="B67" s="254"/>
      <c r="C67" s="292"/>
      <c r="D67" s="226"/>
      <c r="E67" s="227"/>
      <c r="F67" s="292"/>
      <c r="G67" s="292"/>
      <c r="H67" s="227"/>
      <c r="I67" s="227"/>
      <c r="J67" s="227"/>
      <c r="K67" s="227"/>
      <c r="L67" s="227"/>
    </row>
    <row r="68" spans="1:12" s="253" customFormat="1" ht="12.75">
      <c r="A68" s="227"/>
      <c r="B68" s="254"/>
      <c r="C68" s="292"/>
      <c r="D68" s="226"/>
      <c r="E68" s="227"/>
      <c r="F68" s="292"/>
      <c r="G68" s="292"/>
      <c r="H68" s="227"/>
      <c r="I68" s="227"/>
      <c r="J68" s="227"/>
      <c r="K68" s="227"/>
      <c r="L68" s="227"/>
    </row>
    <row r="69" spans="1:12" s="253" customFormat="1" ht="12.75">
      <c r="A69" s="227"/>
      <c r="B69" s="254"/>
      <c r="C69" s="292"/>
      <c r="D69" s="226"/>
      <c r="E69" s="227"/>
      <c r="F69" s="292"/>
      <c r="G69" s="292"/>
      <c r="H69" s="227"/>
      <c r="I69" s="227"/>
      <c r="J69" s="227"/>
      <c r="K69" s="227"/>
      <c r="L69" s="227"/>
    </row>
    <row r="70" spans="1:12" s="253" customFormat="1" ht="12.75">
      <c r="A70" s="227"/>
      <c r="B70" s="254"/>
      <c r="C70" s="292"/>
      <c r="D70" s="226"/>
      <c r="E70" s="227"/>
      <c r="F70" s="292"/>
      <c r="G70" s="292"/>
      <c r="H70" s="227"/>
      <c r="I70" s="227"/>
      <c r="J70" s="227"/>
      <c r="K70" s="227"/>
      <c r="L70" s="227"/>
    </row>
    <row r="71" spans="1:12" s="253" customFormat="1" ht="12.75">
      <c r="A71" s="227"/>
      <c r="B71" s="254"/>
      <c r="C71" s="292"/>
      <c r="D71" s="226"/>
      <c r="E71" s="227"/>
      <c r="F71" s="292"/>
      <c r="G71" s="292"/>
      <c r="H71" s="227"/>
      <c r="I71" s="227"/>
      <c r="J71" s="227"/>
      <c r="K71" s="227"/>
      <c r="L71" s="227"/>
    </row>
    <row r="72" spans="1:12" s="253" customFormat="1" ht="12.75">
      <c r="A72" s="227"/>
      <c r="B72" s="254"/>
      <c r="C72" s="292"/>
      <c r="D72" s="226"/>
      <c r="E72" s="227"/>
      <c r="F72" s="292"/>
      <c r="G72" s="292"/>
      <c r="H72" s="227"/>
      <c r="I72" s="227"/>
      <c r="J72" s="227"/>
      <c r="K72" s="227"/>
      <c r="L72" s="227"/>
    </row>
    <row r="73" spans="1:12" s="253" customFormat="1" ht="12.75">
      <c r="A73" s="227"/>
      <c r="B73" s="254"/>
      <c r="C73" s="292"/>
      <c r="D73" s="226"/>
      <c r="E73" s="227"/>
      <c r="F73" s="292"/>
      <c r="G73" s="292"/>
      <c r="H73" s="227"/>
      <c r="I73" s="227"/>
      <c r="J73" s="227"/>
      <c r="K73" s="227"/>
      <c r="L73" s="227"/>
    </row>
    <row r="74" spans="1:12" s="253" customFormat="1" ht="12.75">
      <c r="A74" s="227"/>
      <c r="B74" s="254"/>
      <c r="C74" s="292"/>
      <c r="D74" s="226"/>
      <c r="E74" s="227"/>
      <c r="F74" s="292"/>
      <c r="G74" s="292"/>
      <c r="H74" s="227"/>
      <c r="I74" s="227"/>
      <c r="J74" s="227"/>
      <c r="K74" s="227"/>
      <c r="L74" s="227"/>
    </row>
  </sheetData>
  <sheetProtection/>
  <mergeCells count="4">
    <mergeCell ref="E53:E64"/>
    <mergeCell ref="A53:A59"/>
    <mergeCell ref="A60:A61"/>
    <mergeCell ref="A7:G7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43"/>
  <sheetViews>
    <sheetView zoomScale="93" zoomScaleNormal="93" workbookViewId="0" topLeftCell="A1">
      <selection activeCell="F5" sqref="F5"/>
    </sheetView>
  </sheetViews>
  <sheetFormatPr defaultColWidth="15.00390625" defaultRowHeight="15"/>
  <cols>
    <col min="1" max="1" width="70.421875" style="4" customWidth="1"/>
    <col min="2" max="2" width="8.140625" style="4" customWidth="1"/>
    <col min="3" max="3" width="9.28125" style="4" customWidth="1"/>
    <col min="4" max="4" width="18.140625" style="305" customWidth="1"/>
    <col min="5" max="5" width="16.140625" style="305" customWidth="1"/>
    <col min="6" max="6" width="9.57421875" style="305" customWidth="1"/>
    <col min="7" max="248" width="10.00390625" style="4" customWidth="1"/>
    <col min="249" max="249" width="70.421875" style="4" customWidth="1"/>
    <col min="250" max="16384" width="15.00390625" style="4" customWidth="1"/>
  </cols>
  <sheetData>
    <row r="1" spans="4:6" ht="12.75">
      <c r="D1" s="88"/>
      <c r="E1" s="88"/>
      <c r="F1" s="88" t="s">
        <v>58</v>
      </c>
    </row>
    <row r="2" spans="4:6" ht="12.75">
      <c r="D2" s="88"/>
      <c r="E2" s="88"/>
      <c r="F2" s="88" t="s">
        <v>57</v>
      </c>
    </row>
    <row r="3" spans="4:6" ht="12.75">
      <c r="D3" s="88"/>
      <c r="E3" s="88"/>
      <c r="F3" s="88" t="s">
        <v>121</v>
      </c>
    </row>
    <row r="4" spans="4:6" ht="12.75">
      <c r="D4" s="88"/>
      <c r="E4" s="88"/>
      <c r="F4" s="88" t="s">
        <v>570</v>
      </c>
    </row>
    <row r="5" spans="4:6" ht="12.75">
      <c r="D5" s="88"/>
      <c r="E5" s="88"/>
      <c r="F5" s="88" t="s">
        <v>559</v>
      </c>
    </row>
    <row r="7" spans="1:6" ht="33" customHeight="1">
      <c r="A7" s="420" t="s">
        <v>567</v>
      </c>
      <c r="B7" s="420"/>
      <c r="C7" s="420"/>
      <c r="D7" s="420"/>
      <c r="E7" s="420"/>
      <c r="F7" s="420"/>
    </row>
    <row r="8" spans="1:3" ht="1.5" customHeight="1">
      <c r="A8" s="5"/>
      <c r="B8" s="5"/>
      <c r="C8" s="5"/>
    </row>
    <row r="9" spans="1:6" ht="18.75">
      <c r="A9" s="6"/>
      <c r="B9" s="6"/>
      <c r="C9" s="6"/>
      <c r="D9" s="306"/>
      <c r="E9" s="306"/>
      <c r="F9" s="306"/>
    </row>
    <row r="10" spans="1:6" ht="24" customHeight="1">
      <c r="A10" s="419" t="s">
        <v>119</v>
      </c>
      <c r="B10" s="417" t="s">
        <v>106</v>
      </c>
      <c r="C10" s="417"/>
      <c r="D10" s="421" t="s">
        <v>552</v>
      </c>
      <c r="E10" s="421" t="s">
        <v>553</v>
      </c>
      <c r="F10" s="421" t="s">
        <v>557</v>
      </c>
    </row>
    <row r="11" spans="1:6" ht="15.75" customHeight="1">
      <c r="A11" s="419"/>
      <c r="B11" s="395" t="s">
        <v>107</v>
      </c>
      <c r="C11" s="396" t="s">
        <v>108</v>
      </c>
      <c r="D11" s="421"/>
      <c r="E11" s="421"/>
      <c r="F11" s="421"/>
    </row>
    <row r="12" spans="1:6" ht="15.75">
      <c r="A12" s="349" t="s">
        <v>83</v>
      </c>
      <c r="B12" s="350" t="s">
        <v>82</v>
      </c>
      <c r="C12" s="350"/>
      <c r="D12" s="351">
        <f>D13+D14+D15+D17+D18</f>
        <v>23359.38017</v>
      </c>
      <c r="E12" s="351">
        <f>E13+E14+E15+E17+E18</f>
        <v>22747.504610000004</v>
      </c>
      <c r="F12" s="347">
        <f aca="true" t="shared" si="0" ref="F12:F39">E12/D12*100</f>
        <v>97.3806001891017</v>
      </c>
    </row>
    <row r="13" spans="1:6" ht="45.75" customHeight="1">
      <c r="A13" s="352" t="s">
        <v>46</v>
      </c>
      <c r="B13" s="353"/>
      <c r="C13" s="354" t="s">
        <v>45</v>
      </c>
      <c r="D13" s="347">
        <f>'Пр.6 Р.П. ЦС. ВР'!E12</f>
        <v>78.73393</v>
      </c>
      <c r="E13" s="347">
        <f>'Пр.6 Р.П. ЦС. ВР'!F12</f>
        <v>78.73393</v>
      </c>
      <c r="F13" s="347">
        <f t="shared" si="0"/>
        <v>100</v>
      </c>
    </row>
    <row r="14" spans="1:7" ht="44.25" customHeight="1">
      <c r="A14" s="352" t="s">
        <v>120</v>
      </c>
      <c r="B14" s="353"/>
      <c r="C14" s="354" t="s">
        <v>36</v>
      </c>
      <c r="D14" s="347">
        <f>'Пр.6 Р.П. ЦС. ВР'!E17</f>
        <v>11794.90624</v>
      </c>
      <c r="E14" s="347">
        <f>'Пр.6 Р.П. ЦС. ВР'!F17</f>
        <v>11794.90068</v>
      </c>
      <c r="F14" s="347">
        <f t="shared" si="0"/>
        <v>99.99995286100723</v>
      </c>
      <c r="G14" s="305"/>
    </row>
    <row r="15" spans="1:6" ht="33.75" customHeight="1">
      <c r="A15" s="352" t="s">
        <v>325</v>
      </c>
      <c r="B15" s="353"/>
      <c r="C15" s="354" t="s">
        <v>324</v>
      </c>
      <c r="D15" s="347">
        <f>'Пр.6 Р.П. ЦС. ВР'!E44</f>
        <v>50.5</v>
      </c>
      <c r="E15" s="347">
        <f>'Пр.6 Р.П. ЦС. ВР'!F44</f>
        <v>50.5</v>
      </c>
      <c r="F15" s="347">
        <f t="shared" si="0"/>
        <v>100</v>
      </c>
    </row>
    <row r="16" spans="1:6" ht="15" hidden="1">
      <c r="A16" s="355" t="s">
        <v>122</v>
      </c>
      <c r="B16" s="356"/>
      <c r="C16" s="354" t="s">
        <v>126</v>
      </c>
      <c r="D16" s="347" t="str">
        <f>'Пр.6 Р.П. ЦС. ВР'!B39</f>
        <v>0107</v>
      </c>
      <c r="E16" s="347">
        <f>'Пр.6 Р.П. ЦС. ВР'!C39</f>
        <v>0</v>
      </c>
      <c r="F16" s="347">
        <f t="shared" si="0"/>
        <v>0</v>
      </c>
    </row>
    <row r="17" spans="1:6" ht="15">
      <c r="A17" s="357" t="s">
        <v>86</v>
      </c>
      <c r="B17" s="353"/>
      <c r="C17" s="354" t="s">
        <v>77</v>
      </c>
      <c r="D17" s="347">
        <f>'Пр.6 Р.П. ЦС. ВР'!E49</f>
        <v>400</v>
      </c>
      <c r="E17" s="347">
        <f>'Пр.6 Р.П. ЦС. ВР'!F49</f>
        <v>0</v>
      </c>
      <c r="F17" s="347">
        <f t="shared" si="0"/>
        <v>0</v>
      </c>
    </row>
    <row r="18" spans="1:6" ht="15">
      <c r="A18" s="358" t="s">
        <v>44</v>
      </c>
      <c r="B18" s="353"/>
      <c r="C18" s="354" t="s">
        <v>42</v>
      </c>
      <c r="D18" s="347">
        <f>'Пр.6 Р.П. ЦС. ВР'!E54</f>
        <v>11035.24</v>
      </c>
      <c r="E18" s="347">
        <f>'Пр.6 Р.П. ЦС. ВР'!F54</f>
        <v>10823.37</v>
      </c>
      <c r="F18" s="347">
        <f t="shared" si="0"/>
        <v>98.08005988089067</v>
      </c>
    </row>
    <row r="19" spans="1:6" ht="27.75" customHeight="1">
      <c r="A19" s="359" t="s">
        <v>180</v>
      </c>
      <c r="B19" s="350" t="s">
        <v>123</v>
      </c>
      <c r="C19" s="350"/>
      <c r="D19" s="360">
        <f>D20</f>
        <v>503.84</v>
      </c>
      <c r="E19" s="360">
        <f>E20</f>
        <v>503.84</v>
      </c>
      <c r="F19" s="347">
        <f t="shared" si="0"/>
        <v>100</v>
      </c>
    </row>
    <row r="20" spans="1:6" ht="20.25" customHeight="1">
      <c r="A20" s="355" t="s">
        <v>124</v>
      </c>
      <c r="B20" s="358"/>
      <c r="C20" s="354" t="s">
        <v>125</v>
      </c>
      <c r="D20" s="347">
        <f>'Пр.6 Р.П. ЦС. ВР'!E81</f>
        <v>503.84</v>
      </c>
      <c r="E20" s="347">
        <f>'Пр.6 Р.П. ЦС. ВР'!F81</f>
        <v>503.84</v>
      </c>
      <c r="F20" s="347">
        <f t="shared" si="0"/>
        <v>100</v>
      </c>
    </row>
    <row r="21" spans="1:6" ht="29.25" customHeight="1">
      <c r="A21" s="359" t="s">
        <v>88</v>
      </c>
      <c r="B21" s="350" t="s">
        <v>87</v>
      </c>
      <c r="C21" s="350"/>
      <c r="D21" s="360">
        <f>D22</f>
        <v>495.09000000000003</v>
      </c>
      <c r="E21" s="360">
        <f>E22</f>
        <v>495.09000000000003</v>
      </c>
      <c r="F21" s="347">
        <f t="shared" si="0"/>
        <v>100</v>
      </c>
    </row>
    <row r="22" spans="1:6" ht="30.75" customHeight="1">
      <c r="A22" s="355" t="s">
        <v>89</v>
      </c>
      <c r="B22" s="358"/>
      <c r="C22" s="354" t="s">
        <v>68</v>
      </c>
      <c r="D22" s="347">
        <f>'Пр.6 Р.П. ЦС. ВР'!E89</f>
        <v>495.09000000000003</v>
      </c>
      <c r="E22" s="347">
        <f>'Пр.6 Р.П. ЦС. ВР'!F89</f>
        <v>495.09000000000003</v>
      </c>
      <c r="F22" s="347">
        <f t="shared" si="0"/>
        <v>100</v>
      </c>
    </row>
    <row r="23" spans="1:6" ht="30.75" customHeight="1" hidden="1" thickBot="1">
      <c r="A23" s="355" t="s">
        <v>104</v>
      </c>
      <c r="B23" s="358"/>
      <c r="C23" s="354" t="s">
        <v>105</v>
      </c>
      <c r="D23" s="347" t="str">
        <f>'Пр.6 Р.П. ЦС. ВР'!B94</f>
        <v>0310</v>
      </c>
      <c r="E23" s="347">
        <f>'Пр.6 Р.П. ЦС. ВР'!C94</f>
        <v>0</v>
      </c>
      <c r="F23" s="347">
        <f t="shared" si="0"/>
        <v>0</v>
      </c>
    </row>
    <row r="24" spans="1:6" ht="30.75" customHeight="1" hidden="1" thickBot="1">
      <c r="A24" s="355" t="s">
        <v>102</v>
      </c>
      <c r="B24" s="358"/>
      <c r="C24" s="354" t="s">
        <v>103</v>
      </c>
      <c r="D24" s="347" t="str">
        <f>'Пр.6 Р.П. ЦС. ВР'!B99</f>
        <v>0314</v>
      </c>
      <c r="E24" s="347">
        <f>'Пр.6 Р.П. ЦС. ВР'!C99</f>
        <v>0</v>
      </c>
      <c r="F24" s="347">
        <f t="shared" si="0"/>
        <v>0</v>
      </c>
    </row>
    <row r="25" spans="1:6" ht="21.75" customHeight="1">
      <c r="A25" s="361" t="s">
        <v>91</v>
      </c>
      <c r="B25" s="350" t="s">
        <v>90</v>
      </c>
      <c r="C25" s="350"/>
      <c r="D25" s="360">
        <f>D26+D27</f>
        <v>17110.245</v>
      </c>
      <c r="E25" s="360">
        <f>E26+E27</f>
        <v>13755.775</v>
      </c>
      <c r="F25" s="347">
        <f t="shared" si="0"/>
        <v>80.3949621995477</v>
      </c>
    </row>
    <row r="26" spans="1:6" ht="15">
      <c r="A26" s="358" t="s">
        <v>98</v>
      </c>
      <c r="B26" s="354"/>
      <c r="C26" s="354" t="s">
        <v>99</v>
      </c>
      <c r="D26" s="347">
        <f>'Пр.6 Р.П. ЦС. ВР'!E105</f>
        <v>16815.245</v>
      </c>
      <c r="E26" s="347">
        <f>'Пр.6 Р.П. ЦС. ВР'!F105</f>
        <v>13532.945</v>
      </c>
      <c r="F26" s="347">
        <f t="shared" si="0"/>
        <v>80.4802130447698</v>
      </c>
    </row>
    <row r="27" spans="1:6" ht="15">
      <c r="A27" s="358" t="s">
        <v>33</v>
      </c>
      <c r="B27" s="354"/>
      <c r="C27" s="354" t="s">
        <v>32</v>
      </c>
      <c r="D27" s="347">
        <f>'Пр.6 Р.П. ЦС. ВР'!E133</f>
        <v>295</v>
      </c>
      <c r="E27" s="347">
        <f>'Пр.6 Р.П. ЦС. ВР'!F133</f>
        <v>222.83</v>
      </c>
      <c r="F27" s="347">
        <f t="shared" si="0"/>
        <v>75.535593220339</v>
      </c>
    </row>
    <row r="28" spans="1:6" ht="21.75" customHeight="1">
      <c r="A28" s="361" t="s">
        <v>109</v>
      </c>
      <c r="B28" s="350" t="s">
        <v>81</v>
      </c>
      <c r="C28" s="350"/>
      <c r="D28" s="360">
        <f>D29+D30+D31</f>
        <v>67620.42677</v>
      </c>
      <c r="E28" s="360">
        <f>E29+E30+E31</f>
        <v>65722.3349</v>
      </c>
      <c r="F28" s="347">
        <f t="shared" si="0"/>
        <v>97.1930199783328</v>
      </c>
    </row>
    <row r="29" spans="1:6" ht="16.5" customHeight="1">
      <c r="A29" s="358" t="s">
        <v>25</v>
      </c>
      <c r="B29" s="354"/>
      <c r="C29" s="354" t="s">
        <v>24</v>
      </c>
      <c r="D29" s="362">
        <f>'Пр.6 Р.П. ЦС. ВР'!E142</f>
        <v>21921.247900000002</v>
      </c>
      <c r="E29" s="362">
        <f>'Пр.6 Р.П. ЦС. ВР'!F142</f>
        <v>21635.8339</v>
      </c>
      <c r="F29" s="347">
        <f t="shared" si="0"/>
        <v>98.69800295447597</v>
      </c>
    </row>
    <row r="30" spans="1:6" ht="17.25" customHeight="1">
      <c r="A30" s="358" t="s">
        <v>66</v>
      </c>
      <c r="B30" s="354"/>
      <c r="C30" s="354" t="s">
        <v>65</v>
      </c>
      <c r="D30" s="347">
        <f>'Пр.6 Р.П. ЦС. ВР'!E171</f>
        <v>29551.04687</v>
      </c>
      <c r="E30" s="347">
        <f>'Пр.6 Р.П. ЦС. ВР'!F171</f>
        <v>27987.371999999996</v>
      </c>
      <c r="F30" s="347">
        <f t="shared" si="0"/>
        <v>94.70856353455474</v>
      </c>
    </row>
    <row r="31" spans="1:6" ht="18" customHeight="1">
      <c r="A31" s="358" t="s">
        <v>100</v>
      </c>
      <c r="B31" s="354"/>
      <c r="C31" s="354" t="s">
        <v>101</v>
      </c>
      <c r="D31" s="347">
        <f>'Пр.6 Р.П. ЦС. ВР'!E208</f>
        <v>16148.132</v>
      </c>
      <c r="E31" s="347">
        <f>'Пр.6 Р.П. ЦС. ВР'!F208</f>
        <v>16099.129</v>
      </c>
      <c r="F31" s="347">
        <f t="shared" si="0"/>
        <v>99.69654075158662</v>
      </c>
    </row>
    <row r="32" spans="1:6" ht="20.25" customHeight="1">
      <c r="A32" s="349" t="s">
        <v>95</v>
      </c>
      <c r="B32" s="350" t="s">
        <v>92</v>
      </c>
      <c r="C32" s="350"/>
      <c r="D32" s="360">
        <f>D33</f>
        <v>15229.28</v>
      </c>
      <c r="E32" s="360">
        <f>E33</f>
        <v>15228.910000000002</v>
      </c>
      <c r="F32" s="347">
        <f t="shared" si="0"/>
        <v>99.99757046951662</v>
      </c>
    </row>
    <row r="33" spans="1:6" ht="20.25" customHeight="1">
      <c r="A33" s="357" t="s">
        <v>18</v>
      </c>
      <c r="B33" s="354"/>
      <c r="C33" s="354" t="s">
        <v>17</v>
      </c>
      <c r="D33" s="347">
        <f>'Пр.6 Р.П. ЦС. ВР'!E254</f>
        <v>15229.28</v>
      </c>
      <c r="E33" s="347">
        <f>'Пр.6 Р.П. ЦС. ВР'!F254</f>
        <v>15228.910000000002</v>
      </c>
      <c r="F33" s="347">
        <f t="shared" si="0"/>
        <v>99.99757046951662</v>
      </c>
    </row>
    <row r="34" spans="1:6" ht="20.25" customHeight="1">
      <c r="A34" s="349" t="s">
        <v>84</v>
      </c>
      <c r="B34" s="350" t="s">
        <v>85</v>
      </c>
      <c r="C34" s="350"/>
      <c r="D34" s="360">
        <f>D35+D36</f>
        <v>8688.331</v>
      </c>
      <c r="E34" s="360">
        <f>E35+E36</f>
        <v>7285.42</v>
      </c>
      <c r="F34" s="347">
        <f t="shared" si="0"/>
        <v>83.85292871553811</v>
      </c>
    </row>
    <row r="35" spans="1:6" ht="24" customHeight="1">
      <c r="A35" s="357" t="s">
        <v>35</v>
      </c>
      <c r="B35" s="350"/>
      <c r="C35" s="354" t="s">
        <v>79</v>
      </c>
      <c r="D35" s="363">
        <f>'Пр.6 Р.П. ЦС. ВР'!E278</f>
        <v>766.206</v>
      </c>
      <c r="E35" s="363">
        <f>'Пр.6 Р.П. ЦС. ВР'!F278</f>
        <v>766.206</v>
      </c>
      <c r="F35" s="347">
        <f t="shared" si="0"/>
        <v>100</v>
      </c>
    </row>
    <row r="36" spans="1:6" ht="19.5" customHeight="1">
      <c r="A36" s="357" t="s">
        <v>71</v>
      </c>
      <c r="B36" s="354"/>
      <c r="C36" s="354" t="s">
        <v>70</v>
      </c>
      <c r="D36" s="363">
        <f>'Пр.6 Р.П. ЦС. ВР'!E283</f>
        <v>7922.125</v>
      </c>
      <c r="E36" s="363">
        <f>'Пр.6 Р.П. ЦС. ВР'!F283</f>
        <v>6519.214</v>
      </c>
      <c r="F36" s="347">
        <f t="shared" si="0"/>
        <v>82.29122867917383</v>
      </c>
    </row>
    <row r="37" spans="1:6" ht="24" customHeight="1" hidden="1" thickBot="1">
      <c r="A37" s="349" t="s">
        <v>96</v>
      </c>
      <c r="B37" s="350" t="s">
        <v>93</v>
      </c>
      <c r="C37" s="354"/>
      <c r="D37" s="351" t="str">
        <f>D38</f>
        <v>1101</v>
      </c>
      <c r="E37" s="351">
        <f>E38</f>
        <v>0</v>
      </c>
      <c r="F37" s="347">
        <f t="shared" si="0"/>
        <v>0</v>
      </c>
    </row>
    <row r="38" spans="1:6" ht="21" customHeight="1" hidden="1" thickBot="1">
      <c r="A38" s="357" t="s">
        <v>20</v>
      </c>
      <c r="B38" s="354"/>
      <c r="C38" s="354" t="s">
        <v>19</v>
      </c>
      <c r="D38" s="347" t="str">
        <f>'Пр.6 Р.П. ЦС. ВР'!B303</f>
        <v>1101</v>
      </c>
      <c r="E38" s="347">
        <f>'Пр.6 Р.П. ЦС. ВР'!C303</f>
        <v>0</v>
      </c>
      <c r="F38" s="347">
        <f t="shared" si="0"/>
        <v>0</v>
      </c>
    </row>
    <row r="39" spans="1:6" ht="21.75" customHeight="1">
      <c r="A39" s="349" t="s">
        <v>97</v>
      </c>
      <c r="B39" s="350" t="s">
        <v>94</v>
      </c>
      <c r="C39" s="354"/>
      <c r="D39" s="351">
        <f>D40</f>
        <v>600</v>
      </c>
      <c r="E39" s="351">
        <f>E40</f>
        <v>600</v>
      </c>
      <c r="F39" s="347">
        <f t="shared" si="0"/>
        <v>100</v>
      </c>
    </row>
    <row r="40" spans="1:6" ht="19.5" customHeight="1">
      <c r="A40" s="357" t="s">
        <v>73</v>
      </c>
      <c r="B40" s="354"/>
      <c r="C40" s="354" t="s">
        <v>72</v>
      </c>
      <c r="D40" s="347">
        <f>'Пр.6 Р.П. ЦС. ВР'!E317</f>
        <v>600</v>
      </c>
      <c r="E40" s="347">
        <f>'Пр.6 Р.П. ЦС. ВР'!F317</f>
        <v>600</v>
      </c>
      <c r="F40" s="347">
        <f>E40/D40*100</f>
        <v>100</v>
      </c>
    </row>
    <row r="41" spans="1:6" ht="26.25" customHeight="1">
      <c r="A41" s="418" t="s">
        <v>16</v>
      </c>
      <c r="B41" s="418"/>
      <c r="C41" s="418"/>
      <c r="D41" s="348">
        <f>D39+D34+D32+D28+D25+D21+D19+D12</f>
        <v>133606.59294</v>
      </c>
      <c r="E41" s="348">
        <f>E39+E34+E32+E28+E25+E21+E19+E12</f>
        <v>126338.87451</v>
      </c>
      <c r="F41" s="348">
        <f>E41/D41*100</f>
        <v>94.56035943281348</v>
      </c>
    </row>
    <row r="42" spans="2:3" ht="12.75">
      <c r="B42" s="7"/>
      <c r="C42" s="7"/>
    </row>
    <row r="43" spans="4:6" ht="12.75">
      <c r="D43" s="307"/>
      <c r="E43" s="307"/>
      <c r="F43" s="307"/>
    </row>
  </sheetData>
  <sheetProtection/>
  <mergeCells count="7">
    <mergeCell ref="B10:C10"/>
    <mergeCell ref="A41:C41"/>
    <mergeCell ref="A10:A11"/>
    <mergeCell ref="A7:F7"/>
    <mergeCell ref="D10:D11"/>
    <mergeCell ref="E10:E11"/>
    <mergeCell ref="F10:F11"/>
  </mergeCells>
  <printOptions/>
  <pageMargins left="0.7086614173228347" right="0" top="0.5905511811023623" bottom="0.3937007874015748" header="0.31496062992125984" footer="0.31496062992125984"/>
  <pageSetup fitToHeight="2" fitToWidth="1" horizontalDpi="600" verticalDpi="600" orientation="portrait" paperSize="9" scale="71" r:id="rId1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355"/>
  <sheetViews>
    <sheetView view="pageBreakPreview" zoomScale="75" zoomScaleNormal="97" zoomScaleSheetLayoutView="75" zoomScalePageLayoutView="0" workbookViewId="0" topLeftCell="A1">
      <selection activeCell="D5" sqref="D5"/>
    </sheetView>
  </sheetViews>
  <sheetFormatPr defaultColWidth="8.8515625" defaultRowHeight="15"/>
  <cols>
    <col min="1" max="1" width="102.00390625" style="8" customWidth="1"/>
    <col min="2" max="2" width="12.140625" style="9" customWidth="1"/>
    <col min="3" max="3" width="9.140625" style="9" customWidth="1"/>
    <col min="4" max="4" width="7.421875" style="9" customWidth="1"/>
    <col min="5" max="5" width="11.8515625" style="128" customWidth="1"/>
    <col min="6" max="6" width="13.00390625" style="128" customWidth="1"/>
    <col min="7" max="7" width="7.421875" style="365" customWidth="1"/>
    <col min="8" max="8" width="1.57421875" style="8" hidden="1" customWidth="1"/>
    <col min="9" max="9" width="11.57421875" style="8" hidden="1" customWidth="1"/>
    <col min="10" max="10" width="0" style="8" hidden="1" customWidth="1"/>
    <col min="11" max="11" width="5.421875" style="8" hidden="1" customWidth="1"/>
    <col min="12" max="16384" width="8.8515625" style="8" customWidth="1"/>
  </cols>
  <sheetData>
    <row r="1" spans="2:7" ht="12.75">
      <c r="B1" s="308"/>
      <c r="C1" s="308"/>
      <c r="D1" s="308"/>
      <c r="E1" s="425" t="s">
        <v>58</v>
      </c>
      <c r="F1" s="425"/>
      <c r="G1" s="425"/>
    </row>
    <row r="2" spans="2:7" ht="12.75">
      <c r="B2" s="308"/>
      <c r="C2" s="308"/>
      <c r="D2" s="308"/>
      <c r="E2" s="425" t="s">
        <v>57</v>
      </c>
      <c r="F2" s="425"/>
      <c r="G2" s="425"/>
    </row>
    <row r="3" spans="1:13" s="4" customFormat="1" ht="12.75">
      <c r="A3" s="2"/>
      <c r="B3" s="426" t="s">
        <v>121</v>
      </c>
      <c r="C3" s="426"/>
      <c r="D3" s="426"/>
      <c r="E3" s="426"/>
      <c r="F3" s="426"/>
      <c r="G3" s="426"/>
      <c r="H3" s="2"/>
      <c r="I3" s="2"/>
      <c r="J3" s="2"/>
      <c r="K3" s="2"/>
      <c r="L3" s="2"/>
      <c r="M3" s="2"/>
    </row>
    <row r="4" spans="2:7" ht="12.75">
      <c r="B4" s="308"/>
      <c r="C4" s="308"/>
      <c r="D4" s="427" t="s">
        <v>571</v>
      </c>
      <c r="E4" s="427"/>
      <c r="F4" s="427"/>
      <c r="G4" s="427"/>
    </row>
    <row r="5" spans="2:7" ht="12.75">
      <c r="B5" s="308"/>
      <c r="C5" s="308"/>
      <c r="D5" s="308"/>
      <c r="E5" s="425" t="s">
        <v>561</v>
      </c>
      <c r="F5" s="425"/>
      <c r="G5" s="425"/>
    </row>
    <row r="6" spans="5:7" ht="1.5" customHeight="1">
      <c r="E6" s="122"/>
      <c r="F6" s="122"/>
      <c r="G6" s="364"/>
    </row>
    <row r="7" spans="5:7" ht="12.75" hidden="1">
      <c r="E7" s="122"/>
      <c r="F7" s="122"/>
      <c r="G7" s="364"/>
    </row>
    <row r="8" spans="1:7" ht="33" customHeight="1">
      <c r="A8" s="428" t="s">
        <v>568</v>
      </c>
      <c r="B8" s="428"/>
      <c r="C8" s="428"/>
      <c r="D8" s="428"/>
      <c r="E8" s="428"/>
      <c r="F8" s="428"/>
      <c r="G8" s="428"/>
    </row>
    <row r="9" ht="4.5" customHeight="1"/>
    <row r="10" ht="12.75">
      <c r="F10" s="369" t="s">
        <v>554</v>
      </c>
    </row>
    <row r="11" spans="1:7" s="12" customFormat="1" ht="24" customHeight="1">
      <c r="A11" s="10" t="s">
        <v>56</v>
      </c>
      <c r="B11" s="11" t="s">
        <v>55</v>
      </c>
      <c r="C11" s="11" t="s">
        <v>54</v>
      </c>
      <c r="D11" s="10" t="s">
        <v>53</v>
      </c>
      <c r="E11" s="123" t="s">
        <v>552</v>
      </c>
      <c r="F11" s="123" t="s">
        <v>553</v>
      </c>
      <c r="G11" s="397" t="s">
        <v>553</v>
      </c>
    </row>
    <row r="12" spans="1:7" s="52" customFormat="1" ht="25.5">
      <c r="A12" s="13" t="s">
        <v>190</v>
      </c>
      <c r="B12" s="10" t="s">
        <v>63</v>
      </c>
      <c r="C12" s="11"/>
      <c r="D12" s="11"/>
      <c r="E12" s="123">
        <f>E13+E17+E26+E44</f>
        <v>19668.0042</v>
      </c>
      <c r="F12" s="123">
        <f>F13+F17+F26+F44</f>
        <v>19399.62</v>
      </c>
      <c r="G12" s="366">
        <f>F12/E12*100</f>
        <v>98.63542738108629</v>
      </c>
    </row>
    <row r="13" spans="1:7" s="61" customFormat="1" ht="38.25">
      <c r="A13" s="83" t="s">
        <v>191</v>
      </c>
      <c r="B13" s="11" t="s">
        <v>192</v>
      </c>
      <c r="C13" s="11"/>
      <c r="D13" s="11"/>
      <c r="E13" s="123">
        <f aca="true" t="shared" si="0" ref="E13:F15">E14</f>
        <v>979</v>
      </c>
      <c r="F13" s="123">
        <f t="shared" si="0"/>
        <v>978.11</v>
      </c>
      <c r="G13" s="366">
        <f aca="true" t="shared" si="1" ref="G13:G76">F13/E13*100</f>
        <v>99.90909090909092</v>
      </c>
    </row>
    <row r="14" spans="1:7" s="19" customFormat="1" ht="38.25">
      <c r="A14" s="20" t="s">
        <v>241</v>
      </c>
      <c r="B14" s="1" t="s">
        <v>193</v>
      </c>
      <c r="C14" s="1"/>
      <c r="D14" s="18"/>
      <c r="E14" s="121">
        <f t="shared" si="0"/>
        <v>979</v>
      </c>
      <c r="F14" s="121">
        <f t="shared" si="0"/>
        <v>978.11</v>
      </c>
      <c r="G14" s="366">
        <f t="shared" si="1"/>
        <v>99.90909090909092</v>
      </c>
    </row>
    <row r="15" spans="1:7" s="19" customFormat="1" ht="15.75" customHeight="1">
      <c r="A15" s="21" t="s">
        <v>302</v>
      </c>
      <c r="B15" s="1" t="s">
        <v>193</v>
      </c>
      <c r="C15" s="22" t="s">
        <v>316</v>
      </c>
      <c r="D15" s="18"/>
      <c r="E15" s="121">
        <f t="shared" si="0"/>
        <v>979</v>
      </c>
      <c r="F15" s="121">
        <f t="shared" si="0"/>
        <v>978.11</v>
      </c>
      <c r="G15" s="366">
        <f t="shared" si="1"/>
        <v>99.90909090909092</v>
      </c>
    </row>
    <row r="16" spans="1:7" s="19" customFormat="1" ht="12.75">
      <c r="A16" s="92" t="s">
        <v>25</v>
      </c>
      <c r="B16" s="1" t="s">
        <v>193</v>
      </c>
      <c r="C16" s="22" t="s">
        <v>316</v>
      </c>
      <c r="D16" s="18" t="s">
        <v>24</v>
      </c>
      <c r="E16" s="121">
        <f>'Пр.6 Р.П. ЦС. ВР'!E154</f>
        <v>979</v>
      </c>
      <c r="F16" s="121">
        <f>'Пр.6 Р.П. ЦС. ВР'!F154</f>
        <v>978.11</v>
      </c>
      <c r="G16" s="366">
        <f t="shared" si="1"/>
        <v>99.90909090909092</v>
      </c>
    </row>
    <row r="17" spans="1:7" s="19" customFormat="1" ht="45" customHeight="1">
      <c r="A17" s="15" t="s">
        <v>197</v>
      </c>
      <c r="B17" s="11" t="s">
        <v>67</v>
      </c>
      <c r="C17" s="11"/>
      <c r="D17" s="10"/>
      <c r="E17" s="123">
        <f>E18+E23</f>
        <v>13676.524270000002</v>
      </c>
      <c r="F17" s="123">
        <f>F18+F23</f>
        <v>13656.36</v>
      </c>
      <c r="G17" s="366">
        <f t="shared" si="1"/>
        <v>99.85256290558975</v>
      </c>
    </row>
    <row r="18" spans="1:7" s="19" customFormat="1" ht="51">
      <c r="A18" s="17" t="s">
        <v>198</v>
      </c>
      <c r="B18" s="1" t="s">
        <v>199</v>
      </c>
      <c r="C18" s="1"/>
      <c r="D18" s="18"/>
      <c r="E18" s="121">
        <f>E19+E21</f>
        <v>1742.73427</v>
      </c>
      <c r="F18" s="121">
        <f>F19+F21</f>
        <v>1732.2600000000002</v>
      </c>
      <c r="G18" s="366">
        <f t="shared" si="1"/>
        <v>99.39897492232136</v>
      </c>
    </row>
    <row r="19" spans="1:7" s="19" customFormat="1" ht="12.75">
      <c r="A19" s="21" t="s">
        <v>302</v>
      </c>
      <c r="B19" s="1" t="s">
        <v>199</v>
      </c>
      <c r="C19" s="22" t="s">
        <v>316</v>
      </c>
      <c r="D19" s="18"/>
      <c r="E19" s="121">
        <f>E20</f>
        <v>407.3497000000001</v>
      </c>
      <c r="F19" s="121">
        <f>F20</f>
        <v>407.35</v>
      </c>
      <c r="G19" s="366">
        <f t="shared" si="1"/>
        <v>100.00007364679536</v>
      </c>
    </row>
    <row r="20" spans="1:7" s="19" customFormat="1" ht="12.75">
      <c r="A20" s="92" t="s">
        <v>66</v>
      </c>
      <c r="B20" s="1" t="s">
        <v>199</v>
      </c>
      <c r="C20" s="22" t="s">
        <v>316</v>
      </c>
      <c r="D20" s="18" t="s">
        <v>65</v>
      </c>
      <c r="E20" s="121">
        <f>'Пр.6 Р.П. ЦС. ВР'!E189</f>
        <v>407.3497000000001</v>
      </c>
      <c r="F20" s="121">
        <f>'Пр.6 Р.П. ЦС. ВР'!F189</f>
        <v>407.35</v>
      </c>
      <c r="G20" s="366">
        <f t="shared" si="1"/>
        <v>100.00007364679536</v>
      </c>
    </row>
    <row r="21" spans="1:7" s="19" customFormat="1" ht="25.5">
      <c r="A21" s="17" t="s">
        <v>34</v>
      </c>
      <c r="B21" s="1" t="s">
        <v>199</v>
      </c>
      <c r="C21" s="1" t="s">
        <v>31</v>
      </c>
      <c r="D21" s="18"/>
      <c r="E21" s="121">
        <f>E22</f>
        <v>1335.38457</v>
      </c>
      <c r="F21" s="121">
        <f>F22</f>
        <v>1324.91</v>
      </c>
      <c r="G21" s="366">
        <f t="shared" si="1"/>
        <v>99.21561397103758</v>
      </c>
    </row>
    <row r="22" spans="1:7" s="19" customFormat="1" ht="12.75">
      <c r="A22" s="92" t="s">
        <v>66</v>
      </c>
      <c r="B22" s="1" t="s">
        <v>199</v>
      </c>
      <c r="C22" s="22" t="s">
        <v>31</v>
      </c>
      <c r="D22" s="18" t="s">
        <v>65</v>
      </c>
      <c r="E22" s="121">
        <f>'Пр.6 Р.П. ЦС. ВР'!E190</f>
        <v>1335.38457</v>
      </c>
      <c r="F22" s="121">
        <f>'Пр.6 Р.П. ЦС. ВР'!F190</f>
        <v>1324.91</v>
      </c>
      <c r="G22" s="366">
        <f t="shared" si="1"/>
        <v>99.21561397103758</v>
      </c>
    </row>
    <row r="23" spans="1:7" s="14" customFormat="1" ht="51">
      <c r="A23" s="17" t="s">
        <v>198</v>
      </c>
      <c r="B23" s="1" t="s">
        <v>527</v>
      </c>
      <c r="C23" s="11"/>
      <c r="D23" s="10"/>
      <c r="E23" s="123">
        <f>E24</f>
        <v>11933.79</v>
      </c>
      <c r="F23" s="123">
        <f>F24</f>
        <v>11924.1</v>
      </c>
      <c r="G23" s="366">
        <f t="shared" si="1"/>
        <v>99.91880198997971</v>
      </c>
    </row>
    <row r="24" spans="1:7" s="19" customFormat="1" ht="25.5">
      <c r="A24" s="21" t="s">
        <v>34</v>
      </c>
      <c r="B24" s="1" t="s">
        <v>527</v>
      </c>
      <c r="C24" s="1" t="s">
        <v>31</v>
      </c>
      <c r="D24" s="18"/>
      <c r="E24" s="121">
        <f>E25</f>
        <v>11933.79</v>
      </c>
      <c r="F24" s="121">
        <f>F25</f>
        <v>11924.1</v>
      </c>
      <c r="G24" s="366">
        <f t="shared" si="1"/>
        <v>99.91880198997971</v>
      </c>
    </row>
    <row r="25" spans="1:7" s="19" customFormat="1" ht="12.75">
      <c r="A25" s="92" t="s">
        <v>66</v>
      </c>
      <c r="B25" s="1" t="s">
        <v>527</v>
      </c>
      <c r="C25" s="1" t="s">
        <v>31</v>
      </c>
      <c r="D25" s="18" t="s">
        <v>65</v>
      </c>
      <c r="E25" s="121">
        <f>'Пр.6 Р.П. ЦС. ВР'!E192</f>
        <v>11933.79</v>
      </c>
      <c r="F25" s="121">
        <f>'Пр.6 Р.П. ЦС. ВР'!F192</f>
        <v>11924.1</v>
      </c>
      <c r="G25" s="366">
        <f t="shared" si="1"/>
        <v>99.91880198997971</v>
      </c>
    </row>
    <row r="26" spans="1:7" s="14" customFormat="1" ht="51">
      <c r="A26" s="15" t="s">
        <v>200</v>
      </c>
      <c r="B26" s="11" t="s">
        <v>201</v>
      </c>
      <c r="C26" s="11"/>
      <c r="D26" s="10"/>
      <c r="E26" s="123">
        <f>E27+E35+E32+E38</f>
        <v>4164.87993</v>
      </c>
      <c r="F26" s="123">
        <f>F27+F35+F32+F38</f>
        <v>3998.69</v>
      </c>
      <c r="G26" s="366">
        <f t="shared" si="1"/>
        <v>96.00973058543852</v>
      </c>
    </row>
    <row r="27" spans="1:7" s="14" customFormat="1" ht="51">
      <c r="A27" s="20" t="s">
        <v>289</v>
      </c>
      <c r="B27" s="11" t="s">
        <v>202</v>
      </c>
      <c r="C27" s="11"/>
      <c r="D27" s="10"/>
      <c r="E27" s="123">
        <f>E28+E30</f>
        <v>1059.26573</v>
      </c>
      <c r="F27" s="123">
        <f>F28+F30</f>
        <v>1058.93</v>
      </c>
      <c r="G27" s="366">
        <f t="shared" si="1"/>
        <v>99.9683054034043</v>
      </c>
    </row>
    <row r="28" spans="1:7" s="19" customFormat="1" ht="25.5" hidden="1">
      <c r="A28" s="21" t="s">
        <v>34</v>
      </c>
      <c r="B28" s="1" t="s">
        <v>202</v>
      </c>
      <c r="C28" s="1" t="s">
        <v>31</v>
      </c>
      <c r="D28" s="18"/>
      <c r="E28" s="121">
        <f>E29</f>
        <v>0</v>
      </c>
      <c r="F28" s="121">
        <f>F29</f>
        <v>0</v>
      </c>
      <c r="G28" s="366" t="e">
        <f t="shared" si="1"/>
        <v>#DIV/0!</v>
      </c>
    </row>
    <row r="29" spans="1:7" s="19" customFormat="1" ht="12.75" hidden="1">
      <c r="A29" s="92" t="s">
        <v>66</v>
      </c>
      <c r="B29" s="1" t="s">
        <v>202</v>
      </c>
      <c r="C29" s="1" t="s">
        <v>31</v>
      </c>
      <c r="D29" s="18" t="s">
        <v>65</v>
      </c>
      <c r="E29" s="121">
        <f>'Пр.6 Р.П. ЦС. ВР'!E195</f>
        <v>0</v>
      </c>
      <c r="F29" s="121">
        <f>'Пр.6 Р.П. ЦС. ВР'!F195</f>
        <v>0</v>
      </c>
      <c r="G29" s="366" t="e">
        <f t="shared" si="1"/>
        <v>#DIV/0!</v>
      </c>
    </row>
    <row r="30" spans="1:7" s="19" customFormat="1" ht="12.75">
      <c r="A30" s="21" t="s">
        <v>302</v>
      </c>
      <c r="B30" s="1" t="s">
        <v>202</v>
      </c>
      <c r="C30" s="22" t="s">
        <v>316</v>
      </c>
      <c r="D30" s="18"/>
      <c r="E30" s="121">
        <f>E31</f>
        <v>1059.26573</v>
      </c>
      <c r="F30" s="121">
        <f>F31</f>
        <v>1058.93</v>
      </c>
      <c r="G30" s="366">
        <f t="shared" si="1"/>
        <v>99.9683054034043</v>
      </c>
    </row>
    <row r="31" spans="1:7" s="19" customFormat="1" ht="12.75">
      <c r="A31" s="92" t="s">
        <v>66</v>
      </c>
      <c r="B31" s="1" t="s">
        <v>202</v>
      </c>
      <c r="C31" s="22" t="s">
        <v>316</v>
      </c>
      <c r="D31" s="18" t="s">
        <v>65</v>
      </c>
      <c r="E31" s="121">
        <f>'Пр.6 Р.П. ЦС. ВР'!E196</f>
        <v>1059.26573</v>
      </c>
      <c r="F31" s="121">
        <f>'Пр.6 Р.П. ЦС. ВР'!F196</f>
        <v>1058.93</v>
      </c>
      <c r="G31" s="366">
        <f t="shared" si="1"/>
        <v>99.9683054034043</v>
      </c>
    </row>
    <row r="32" spans="1:7" s="19" customFormat="1" ht="51">
      <c r="A32" s="21" t="s">
        <v>550</v>
      </c>
      <c r="B32" s="1" t="s">
        <v>318</v>
      </c>
      <c r="C32" s="22"/>
      <c r="D32" s="18"/>
      <c r="E32" s="121">
        <f>E33</f>
        <v>2135.6142</v>
      </c>
      <c r="F32" s="121">
        <f>F33</f>
        <v>1969.76</v>
      </c>
      <c r="G32" s="366">
        <f t="shared" si="1"/>
        <v>92.2338875626506</v>
      </c>
    </row>
    <row r="33" spans="1:7" s="19" customFormat="1" ht="12.75">
      <c r="A33" s="24" t="s">
        <v>309</v>
      </c>
      <c r="B33" s="1" t="s">
        <v>318</v>
      </c>
      <c r="C33" s="22" t="s">
        <v>317</v>
      </c>
      <c r="D33" s="18"/>
      <c r="E33" s="121">
        <f>E34</f>
        <v>2135.6142</v>
      </c>
      <c r="F33" s="121">
        <f>F34</f>
        <v>1969.76</v>
      </c>
      <c r="G33" s="366">
        <f t="shared" si="1"/>
        <v>92.2338875626506</v>
      </c>
    </row>
    <row r="34" spans="1:7" s="19" customFormat="1" ht="12.75">
      <c r="A34" s="92" t="s">
        <v>66</v>
      </c>
      <c r="B34" s="1" t="s">
        <v>318</v>
      </c>
      <c r="C34" s="22" t="s">
        <v>317</v>
      </c>
      <c r="D34" s="18" t="s">
        <v>65</v>
      </c>
      <c r="E34" s="121">
        <f>'Пр.6 Р.П. ЦС. ВР'!E198</f>
        <v>2135.6142</v>
      </c>
      <c r="F34" s="121">
        <f>'Пр.6 Р.П. ЦС. ВР'!F198</f>
        <v>1969.76</v>
      </c>
      <c r="G34" s="366">
        <f t="shared" si="1"/>
        <v>92.2338875626506</v>
      </c>
    </row>
    <row r="35" spans="1:7" s="14" customFormat="1" ht="51" hidden="1">
      <c r="A35" s="20" t="s">
        <v>290</v>
      </c>
      <c r="B35" s="11" t="s">
        <v>267</v>
      </c>
      <c r="C35" s="11"/>
      <c r="D35" s="10"/>
      <c r="E35" s="123">
        <f>E36</f>
        <v>0</v>
      </c>
      <c r="F35" s="123">
        <f>F36</f>
        <v>0</v>
      </c>
      <c r="G35" s="366" t="e">
        <f t="shared" si="1"/>
        <v>#DIV/0!</v>
      </c>
    </row>
    <row r="36" spans="1:7" s="19" customFormat="1" ht="25.5" hidden="1">
      <c r="A36" s="21" t="s">
        <v>34</v>
      </c>
      <c r="B36" s="1" t="s">
        <v>267</v>
      </c>
      <c r="C36" s="1" t="s">
        <v>31</v>
      </c>
      <c r="D36" s="18"/>
      <c r="E36" s="121">
        <f>E37</f>
        <v>0</v>
      </c>
      <c r="F36" s="121">
        <f>F37</f>
        <v>0</v>
      </c>
      <c r="G36" s="366" t="e">
        <f t="shared" si="1"/>
        <v>#DIV/0!</v>
      </c>
    </row>
    <row r="37" spans="1:7" s="19" customFormat="1" ht="12.75" hidden="1">
      <c r="A37" s="92" t="s">
        <v>66</v>
      </c>
      <c r="B37" s="1" t="s">
        <v>267</v>
      </c>
      <c r="C37" s="1" t="s">
        <v>31</v>
      </c>
      <c r="D37" s="18" t="s">
        <v>65</v>
      </c>
      <c r="E37" s="121">
        <f>'Пр.6 Р.П. ЦС. ВР'!E200</f>
        <v>0</v>
      </c>
      <c r="F37" s="121">
        <f>'Пр.6 Р.П. ЦС. ВР'!F200</f>
        <v>0</v>
      </c>
      <c r="G37" s="366" t="e">
        <f t="shared" si="1"/>
        <v>#DIV/0!</v>
      </c>
    </row>
    <row r="38" spans="1:7" s="19" customFormat="1" ht="22.5" customHeight="1">
      <c r="A38" s="21" t="s">
        <v>339</v>
      </c>
      <c r="B38" s="1" t="s">
        <v>332</v>
      </c>
      <c r="C38" s="22"/>
      <c r="D38" s="18"/>
      <c r="E38" s="121">
        <f>E41+E42</f>
        <v>970</v>
      </c>
      <c r="F38" s="121">
        <f>F41+F42</f>
        <v>970</v>
      </c>
      <c r="G38" s="366">
        <f t="shared" si="1"/>
        <v>100</v>
      </c>
    </row>
    <row r="39" spans="1:7" s="19" customFormat="1" ht="12.75" hidden="1">
      <c r="A39" s="21" t="s">
        <v>302</v>
      </c>
      <c r="B39" s="1" t="s">
        <v>332</v>
      </c>
      <c r="C39" s="22" t="s">
        <v>316</v>
      </c>
      <c r="D39" s="18"/>
      <c r="E39" s="121"/>
      <c r="F39" s="121"/>
      <c r="G39" s="366" t="e">
        <f t="shared" si="1"/>
        <v>#DIV/0!</v>
      </c>
    </row>
    <row r="40" spans="1:7" s="19" customFormat="1" ht="12.75">
      <c r="A40" s="21" t="s">
        <v>302</v>
      </c>
      <c r="B40" s="1" t="s">
        <v>332</v>
      </c>
      <c r="C40" s="22" t="s">
        <v>316</v>
      </c>
      <c r="D40" s="18"/>
      <c r="E40" s="121">
        <f>E41</f>
        <v>500</v>
      </c>
      <c r="F40" s="121">
        <f>F41</f>
        <v>500</v>
      </c>
      <c r="G40" s="366">
        <f t="shared" si="1"/>
        <v>100</v>
      </c>
    </row>
    <row r="41" spans="1:7" s="19" customFormat="1" ht="12.75">
      <c r="A41" s="92" t="s">
        <v>66</v>
      </c>
      <c r="B41" s="1" t="s">
        <v>332</v>
      </c>
      <c r="C41" s="22" t="s">
        <v>316</v>
      </c>
      <c r="D41" s="18" t="s">
        <v>65</v>
      </c>
      <c r="E41" s="121">
        <f>'Пр.6 Р.П. ЦС. ВР'!E202</f>
        <v>500</v>
      </c>
      <c r="F41" s="121">
        <f>'Пр.6 Р.П. ЦС. ВР'!F202</f>
        <v>500</v>
      </c>
      <c r="G41" s="366">
        <f t="shared" si="1"/>
        <v>100</v>
      </c>
    </row>
    <row r="42" spans="1:7" s="19" customFormat="1" ht="12.75">
      <c r="A42" s="24" t="s">
        <v>309</v>
      </c>
      <c r="B42" s="1" t="s">
        <v>332</v>
      </c>
      <c r="C42" s="22" t="s">
        <v>317</v>
      </c>
      <c r="D42" s="18"/>
      <c r="E42" s="121">
        <f>E43</f>
        <v>470</v>
      </c>
      <c r="F42" s="121">
        <f>F43</f>
        <v>470</v>
      </c>
      <c r="G42" s="366">
        <f t="shared" si="1"/>
        <v>100</v>
      </c>
    </row>
    <row r="43" spans="1:7" s="19" customFormat="1" ht="12.75">
      <c r="A43" s="92" t="s">
        <v>66</v>
      </c>
      <c r="B43" s="1" t="s">
        <v>332</v>
      </c>
      <c r="C43" s="22" t="s">
        <v>317</v>
      </c>
      <c r="D43" s="18" t="s">
        <v>65</v>
      </c>
      <c r="E43" s="121">
        <v>470</v>
      </c>
      <c r="F43" s="121">
        <v>470</v>
      </c>
      <c r="G43" s="366">
        <f t="shared" si="1"/>
        <v>100</v>
      </c>
    </row>
    <row r="44" spans="1:7" s="61" customFormat="1" ht="38.25">
      <c r="A44" s="83" t="s">
        <v>232</v>
      </c>
      <c r="B44" s="10" t="s">
        <v>230</v>
      </c>
      <c r="C44" s="11"/>
      <c r="D44" s="11"/>
      <c r="E44" s="123">
        <f>E45</f>
        <v>847.6</v>
      </c>
      <c r="F44" s="123">
        <f>F45</f>
        <v>766.46</v>
      </c>
      <c r="G44" s="366">
        <f t="shared" si="1"/>
        <v>90.42708824917413</v>
      </c>
    </row>
    <row r="45" spans="1:7" s="61" customFormat="1" ht="51">
      <c r="A45" s="20" t="s">
        <v>231</v>
      </c>
      <c r="B45" s="1" t="s">
        <v>229</v>
      </c>
      <c r="C45" s="91"/>
      <c r="D45" s="1"/>
      <c r="E45" s="121">
        <f>E46+E48</f>
        <v>847.6</v>
      </c>
      <c r="F45" s="121">
        <f>F46+F48</f>
        <v>766.46</v>
      </c>
      <c r="G45" s="366">
        <f t="shared" si="1"/>
        <v>90.42708824917413</v>
      </c>
    </row>
    <row r="46" spans="1:7" s="60" customFormat="1" ht="15.75" customHeight="1">
      <c r="A46" s="3" t="s">
        <v>308</v>
      </c>
      <c r="B46" s="1" t="s">
        <v>229</v>
      </c>
      <c r="C46" s="1" t="s">
        <v>317</v>
      </c>
      <c r="D46" s="36"/>
      <c r="E46" s="124">
        <f>E47</f>
        <v>438.6</v>
      </c>
      <c r="F46" s="124">
        <f>F47</f>
        <v>438.59</v>
      </c>
      <c r="G46" s="366">
        <f t="shared" si="1"/>
        <v>99.99772001823985</v>
      </c>
    </row>
    <row r="47" spans="1:7" s="19" customFormat="1" ht="12.75">
      <c r="A47" s="92" t="s">
        <v>66</v>
      </c>
      <c r="B47" s="1" t="s">
        <v>229</v>
      </c>
      <c r="C47" s="1" t="s">
        <v>317</v>
      </c>
      <c r="D47" s="18" t="s">
        <v>65</v>
      </c>
      <c r="E47" s="124">
        <f>'Пр.6 Р.П. ЦС. ВР'!E207</f>
        <v>438.6</v>
      </c>
      <c r="F47" s="124">
        <f>'Пр.6 Р.П. ЦС. ВР'!F207</f>
        <v>438.59</v>
      </c>
      <c r="G47" s="366">
        <f t="shared" si="1"/>
        <v>99.99772001823985</v>
      </c>
    </row>
    <row r="48" spans="1:7" s="60" customFormat="1" ht="12.75">
      <c r="A48" s="21" t="s">
        <v>302</v>
      </c>
      <c r="B48" s="1" t="s">
        <v>229</v>
      </c>
      <c r="C48" s="22" t="s">
        <v>316</v>
      </c>
      <c r="D48" s="36"/>
      <c r="E48" s="124">
        <f>E49</f>
        <v>409</v>
      </c>
      <c r="F48" s="124">
        <f>F49</f>
        <v>327.87</v>
      </c>
      <c r="G48" s="366">
        <f t="shared" si="1"/>
        <v>80.1638141809291</v>
      </c>
    </row>
    <row r="49" spans="1:7" s="19" customFormat="1" ht="12.75">
      <c r="A49" s="92" t="s">
        <v>66</v>
      </c>
      <c r="B49" s="1" t="s">
        <v>229</v>
      </c>
      <c r="C49" s="22" t="s">
        <v>316</v>
      </c>
      <c r="D49" s="18" t="s">
        <v>65</v>
      </c>
      <c r="E49" s="124">
        <f>'Пр.6 Р.П. ЦС. ВР'!E206</f>
        <v>409</v>
      </c>
      <c r="F49" s="124">
        <f>'Пр.6 Р.П. ЦС. ВР'!F206</f>
        <v>327.87</v>
      </c>
      <c r="G49" s="366">
        <f t="shared" si="1"/>
        <v>80.1638141809291</v>
      </c>
    </row>
    <row r="50" spans="1:7" s="19" customFormat="1" ht="12.75">
      <c r="A50" s="39" t="s">
        <v>208</v>
      </c>
      <c r="B50" s="11" t="s">
        <v>69</v>
      </c>
      <c r="C50" s="11"/>
      <c r="D50" s="10"/>
      <c r="E50" s="123">
        <f>E51+E64</f>
        <v>8614.323</v>
      </c>
      <c r="F50" s="123">
        <f>F51+F64</f>
        <v>8606.08</v>
      </c>
      <c r="G50" s="366">
        <f t="shared" si="1"/>
        <v>99.90431053026452</v>
      </c>
    </row>
    <row r="51" spans="1:7" s="16" customFormat="1" ht="25.5">
      <c r="A51" s="39" t="s">
        <v>210</v>
      </c>
      <c r="B51" s="11" t="s">
        <v>209</v>
      </c>
      <c r="C51" s="11"/>
      <c r="D51" s="10"/>
      <c r="E51" s="123">
        <f>E55+E58+E61+E52</f>
        <v>8614.323</v>
      </c>
      <c r="F51" s="123">
        <f>F55+F58+F61+F52</f>
        <v>8606.08</v>
      </c>
      <c r="G51" s="366">
        <f t="shared" si="1"/>
        <v>99.90431053026452</v>
      </c>
    </row>
    <row r="52" spans="1:7" s="16" customFormat="1" ht="25.5">
      <c r="A52" s="142" t="s">
        <v>353</v>
      </c>
      <c r="B52" s="1" t="s">
        <v>349</v>
      </c>
      <c r="C52" s="1"/>
      <c r="D52" s="18"/>
      <c r="E52" s="121">
        <f>E53</f>
        <v>7828.283</v>
      </c>
      <c r="F52" s="121">
        <f>F53</f>
        <v>7828.28</v>
      </c>
      <c r="G52" s="366">
        <f t="shared" si="1"/>
        <v>99.99996167742019</v>
      </c>
    </row>
    <row r="53" spans="1:7" s="16" customFormat="1" ht="17.25" customHeight="1">
      <c r="A53" s="3" t="s">
        <v>312</v>
      </c>
      <c r="B53" s="1" t="s">
        <v>349</v>
      </c>
      <c r="C53" s="1" t="s">
        <v>313</v>
      </c>
      <c r="D53" s="18"/>
      <c r="E53" s="121">
        <f>E54</f>
        <v>7828.283</v>
      </c>
      <c r="F53" s="121">
        <f>F54</f>
        <v>7828.28</v>
      </c>
      <c r="G53" s="366">
        <f t="shared" si="1"/>
        <v>99.99996167742019</v>
      </c>
    </row>
    <row r="54" spans="1:7" s="16" customFormat="1" ht="12.75">
      <c r="A54" s="92" t="s">
        <v>100</v>
      </c>
      <c r="B54" s="1" t="s">
        <v>349</v>
      </c>
      <c r="C54" s="1" t="s">
        <v>313</v>
      </c>
      <c r="D54" s="18" t="s">
        <v>101</v>
      </c>
      <c r="E54" s="121">
        <f>'Пр.6 Р.П. ЦС. ВР'!E232</f>
        <v>7828.283</v>
      </c>
      <c r="F54" s="121">
        <f>'Пр.6 Р.П. ЦС. ВР'!F232</f>
        <v>7828.28</v>
      </c>
      <c r="G54" s="366">
        <f t="shared" si="1"/>
        <v>99.99996167742019</v>
      </c>
    </row>
    <row r="55" spans="1:7" s="19" customFormat="1" ht="38.25">
      <c r="A55" s="44" t="s">
        <v>233</v>
      </c>
      <c r="B55" s="1" t="s">
        <v>211</v>
      </c>
      <c r="C55" s="1"/>
      <c r="D55" s="18"/>
      <c r="E55" s="121">
        <f>E56</f>
        <v>12.800000000000011</v>
      </c>
      <c r="F55" s="121">
        <f>F56</f>
        <v>12.800000000000011</v>
      </c>
      <c r="G55" s="366">
        <f t="shared" si="1"/>
        <v>100</v>
      </c>
    </row>
    <row r="56" spans="1:7" s="19" customFormat="1" ht="12.75">
      <c r="A56" s="21" t="s">
        <v>302</v>
      </c>
      <c r="B56" s="1" t="s">
        <v>211</v>
      </c>
      <c r="C56" s="22" t="s">
        <v>316</v>
      </c>
      <c r="D56" s="18"/>
      <c r="E56" s="121">
        <f>E57</f>
        <v>12.800000000000011</v>
      </c>
      <c r="F56" s="121">
        <f>F57</f>
        <v>12.800000000000011</v>
      </c>
      <c r="G56" s="366">
        <f t="shared" si="1"/>
        <v>100</v>
      </c>
    </row>
    <row r="57" spans="1:7" s="19" customFormat="1" ht="12.75">
      <c r="A57" s="92" t="s">
        <v>100</v>
      </c>
      <c r="B57" s="1" t="s">
        <v>211</v>
      </c>
      <c r="C57" s="22" t="s">
        <v>316</v>
      </c>
      <c r="D57" s="18" t="s">
        <v>101</v>
      </c>
      <c r="E57" s="121">
        <f>'Пр.6 Р.П. ЦС. ВР'!E234</f>
        <v>12.800000000000011</v>
      </c>
      <c r="F57" s="121">
        <f>'Пр.6 Р.П. ЦС. ВР'!F234</f>
        <v>12.800000000000011</v>
      </c>
      <c r="G57" s="366">
        <f t="shared" si="1"/>
        <v>100</v>
      </c>
    </row>
    <row r="58" spans="1:7" s="19" customFormat="1" ht="38.25">
      <c r="A58" s="24" t="s">
        <v>212</v>
      </c>
      <c r="B58" s="1" t="s">
        <v>213</v>
      </c>
      <c r="C58" s="1"/>
      <c r="D58" s="18"/>
      <c r="E58" s="121">
        <f>E59</f>
        <v>68</v>
      </c>
      <c r="F58" s="121">
        <f>F59</f>
        <v>67.98</v>
      </c>
      <c r="G58" s="366">
        <f t="shared" si="1"/>
        <v>99.97058823529412</v>
      </c>
    </row>
    <row r="59" spans="1:7" s="16" customFormat="1" ht="12.75">
      <c r="A59" s="21" t="s">
        <v>302</v>
      </c>
      <c r="B59" s="1" t="s">
        <v>213</v>
      </c>
      <c r="C59" s="1" t="s">
        <v>316</v>
      </c>
      <c r="D59" s="10"/>
      <c r="E59" s="121">
        <f>E60</f>
        <v>68</v>
      </c>
      <c r="F59" s="121">
        <f>F60</f>
        <v>67.98</v>
      </c>
      <c r="G59" s="366">
        <f t="shared" si="1"/>
        <v>99.97058823529412</v>
      </c>
    </row>
    <row r="60" spans="1:7" s="19" customFormat="1" ht="12.75">
      <c r="A60" s="92" t="s">
        <v>100</v>
      </c>
      <c r="B60" s="1" t="s">
        <v>213</v>
      </c>
      <c r="C60" s="22" t="s">
        <v>316</v>
      </c>
      <c r="D60" s="18" t="s">
        <v>101</v>
      </c>
      <c r="E60" s="121">
        <f>'Пр.6 Р.П. ЦС. ВР'!E236</f>
        <v>68</v>
      </c>
      <c r="F60" s="121">
        <f>'Пр.6 Р.П. ЦС. ВР'!F236</f>
        <v>67.98</v>
      </c>
      <c r="G60" s="366">
        <f t="shared" si="1"/>
        <v>99.97058823529412</v>
      </c>
    </row>
    <row r="61" spans="1:7" s="19" customFormat="1" ht="38.25">
      <c r="A61" s="24" t="s">
        <v>214</v>
      </c>
      <c r="B61" s="1" t="s">
        <v>218</v>
      </c>
      <c r="C61" s="1"/>
      <c r="D61" s="18"/>
      <c r="E61" s="121">
        <f>E62</f>
        <v>705.2399999999998</v>
      </c>
      <c r="F61" s="121">
        <f>F62</f>
        <v>697.02</v>
      </c>
      <c r="G61" s="366">
        <f t="shared" si="1"/>
        <v>98.83443933979925</v>
      </c>
    </row>
    <row r="62" spans="1:7" s="19" customFormat="1" ht="12.75">
      <c r="A62" s="21" t="s">
        <v>302</v>
      </c>
      <c r="B62" s="1" t="s">
        <v>218</v>
      </c>
      <c r="C62" s="1" t="s">
        <v>316</v>
      </c>
      <c r="D62" s="18"/>
      <c r="E62" s="121">
        <f>E63</f>
        <v>705.2399999999998</v>
      </c>
      <c r="F62" s="121">
        <f>F63</f>
        <v>697.02</v>
      </c>
      <c r="G62" s="366">
        <f t="shared" si="1"/>
        <v>98.83443933979925</v>
      </c>
    </row>
    <row r="63" spans="1:7" s="19" customFormat="1" ht="12.75">
      <c r="A63" s="92" t="s">
        <v>100</v>
      </c>
      <c r="B63" s="1" t="s">
        <v>218</v>
      </c>
      <c r="C63" s="22" t="s">
        <v>316</v>
      </c>
      <c r="D63" s="18" t="s">
        <v>101</v>
      </c>
      <c r="E63" s="121">
        <f>'Пр.6 Р.П. ЦС. ВР'!E238</f>
        <v>705.2399999999998</v>
      </c>
      <c r="F63" s="121">
        <f>'Пр.6 Р.П. ЦС. ВР'!F238</f>
        <v>697.02</v>
      </c>
      <c r="G63" s="366">
        <f t="shared" si="1"/>
        <v>98.83443933979925</v>
      </c>
    </row>
    <row r="64" spans="1:7" s="56" customFormat="1" ht="25.5" hidden="1">
      <c r="A64" s="39" t="s">
        <v>215</v>
      </c>
      <c r="B64" s="11" t="s">
        <v>110</v>
      </c>
      <c r="C64" s="11"/>
      <c r="D64" s="10"/>
      <c r="E64" s="123">
        <f>E65+E68</f>
        <v>0</v>
      </c>
      <c r="F64" s="123">
        <f>F65+F68</f>
        <v>0</v>
      </c>
      <c r="G64" s="366" t="e">
        <f t="shared" si="1"/>
        <v>#DIV/0!</v>
      </c>
    </row>
    <row r="65" spans="1:7" s="56" customFormat="1" ht="38.25" hidden="1">
      <c r="A65" s="44" t="s">
        <v>216</v>
      </c>
      <c r="B65" s="1" t="s">
        <v>225</v>
      </c>
      <c r="C65" s="11"/>
      <c r="D65" s="10"/>
      <c r="E65" s="121">
        <f>E66</f>
        <v>0</v>
      </c>
      <c r="F65" s="121">
        <f>F66</f>
        <v>0</v>
      </c>
      <c r="G65" s="366" t="e">
        <f t="shared" si="1"/>
        <v>#DIV/0!</v>
      </c>
    </row>
    <row r="66" spans="1:7" s="16" customFormat="1" ht="12.75" hidden="1">
      <c r="A66" s="21" t="s">
        <v>302</v>
      </c>
      <c r="B66" s="1" t="s">
        <v>225</v>
      </c>
      <c r="C66" s="1" t="s">
        <v>316</v>
      </c>
      <c r="D66" s="10"/>
      <c r="E66" s="121">
        <f>E67</f>
        <v>0</v>
      </c>
      <c r="F66" s="121">
        <f>F67</f>
        <v>0</v>
      </c>
      <c r="G66" s="366" t="e">
        <f t="shared" si="1"/>
        <v>#DIV/0!</v>
      </c>
    </row>
    <row r="67" spans="1:7" s="19" customFormat="1" ht="12.75" hidden="1">
      <c r="A67" s="92" t="s">
        <v>100</v>
      </c>
      <c r="B67" s="1" t="s">
        <v>225</v>
      </c>
      <c r="C67" s="22" t="s">
        <v>316</v>
      </c>
      <c r="D67" s="18" t="s">
        <v>101</v>
      </c>
      <c r="E67" s="121">
        <f>'Пр.6 Р.П. ЦС. ВР'!E241</f>
        <v>0</v>
      </c>
      <c r="F67" s="121">
        <f>'Пр.6 Р.П. ЦС. ВР'!F241</f>
        <v>0</v>
      </c>
      <c r="G67" s="366" t="e">
        <f t="shared" si="1"/>
        <v>#DIV/0!</v>
      </c>
    </row>
    <row r="68" spans="1:7" s="19" customFormat="1" ht="38.25" hidden="1">
      <c r="A68" s="44" t="s">
        <v>217</v>
      </c>
      <c r="B68" s="1" t="s">
        <v>226</v>
      </c>
      <c r="C68" s="1"/>
      <c r="D68" s="18"/>
      <c r="E68" s="121">
        <f>E69</f>
        <v>0</v>
      </c>
      <c r="F68" s="121">
        <f>F69</f>
        <v>0</v>
      </c>
      <c r="G68" s="366" t="e">
        <f t="shared" si="1"/>
        <v>#DIV/0!</v>
      </c>
    </row>
    <row r="69" spans="1:7" s="19" customFormat="1" ht="12.75" hidden="1">
      <c r="A69" s="24" t="s">
        <v>38</v>
      </c>
      <c r="B69" s="1" t="s">
        <v>226</v>
      </c>
      <c r="C69" s="1" t="s">
        <v>61</v>
      </c>
      <c r="D69" s="18" t="s">
        <v>101</v>
      </c>
      <c r="E69" s="121">
        <f>E70</f>
        <v>0</v>
      </c>
      <c r="F69" s="121">
        <f>F70</f>
        <v>0</v>
      </c>
      <c r="G69" s="366" t="e">
        <f t="shared" si="1"/>
        <v>#DIV/0!</v>
      </c>
    </row>
    <row r="70" spans="1:7" s="19" customFormat="1" ht="12.75" hidden="1">
      <c r="A70" s="92" t="s">
        <v>100</v>
      </c>
      <c r="B70" s="1" t="s">
        <v>226</v>
      </c>
      <c r="C70" s="1" t="s">
        <v>61</v>
      </c>
      <c r="D70" s="18" t="s">
        <v>101</v>
      </c>
      <c r="E70" s="121">
        <f>'Пр.6 Р.П. ЦС. ВР'!E243</f>
        <v>0</v>
      </c>
      <c r="F70" s="121">
        <f>'Пр.6 Р.П. ЦС. ВР'!F243</f>
        <v>0</v>
      </c>
      <c r="G70" s="366" t="e">
        <f t="shared" si="1"/>
        <v>#DIV/0!</v>
      </c>
    </row>
    <row r="71" spans="1:7" s="79" customFormat="1" ht="12.75">
      <c r="A71" s="39" t="s">
        <v>168</v>
      </c>
      <c r="B71" s="11" t="s">
        <v>170</v>
      </c>
      <c r="C71" s="11"/>
      <c r="D71" s="10"/>
      <c r="E71" s="123">
        <f>E72+E85</f>
        <v>6299.25</v>
      </c>
      <c r="F71" s="123">
        <f>F72+F85</f>
        <v>5912.730000000001</v>
      </c>
      <c r="G71" s="366">
        <f t="shared" si="1"/>
        <v>93.86403143231338</v>
      </c>
    </row>
    <row r="72" spans="1:7" s="16" customFormat="1" ht="25.5">
      <c r="A72" s="39" t="s">
        <v>169</v>
      </c>
      <c r="B72" s="11" t="s">
        <v>171</v>
      </c>
      <c r="C72" s="11"/>
      <c r="D72" s="10"/>
      <c r="E72" s="123">
        <f>E73+E82+E76+E79</f>
        <v>5123.8</v>
      </c>
      <c r="F72" s="123">
        <f>F73+F82+F76+F79</f>
        <v>4737.330000000001</v>
      </c>
      <c r="G72" s="366">
        <f t="shared" si="1"/>
        <v>92.45735586869121</v>
      </c>
    </row>
    <row r="73" spans="1:7" s="19" customFormat="1" ht="38.25">
      <c r="A73" s="44" t="s">
        <v>172</v>
      </c>
      <c r="B73" s="1" t="s">
        <v>173</v>
      </c>
      <c r="C73" s="1"/>
      <c r="D73" s="18"/>
      <c r="E73" s="121">
        <f>E74</f>
        <v>2101</v>
      </c>
      <c r="F73" s="121">
        <f>F74</f>
        <v>1714.8400000000001</v>
      </c>
      <c r="G73" s="366">
        <f t="shared" si="1"/>
        <v>81.62018086625416</v>
      </c>
    </row>
    <row r="74" spans="1:7" s="19" customFormat="1" ht="12.75">
      <c r="A74" s="21" t="s">
        <v>302</v>
      </c>
      <c r="B74" s="1" t="s">
        <v>173</v>
      </c>
      <c r="C74" s="22" t="s">
        <v>316</v>
      </c>
      <c r="D74" s="18"/>
      <c r="E74" s="121">
        <f>E75</f>
        <v>2101</v>
      </c>
      <c r="F74" s="121">
        <f>F75</f>
        <v>1714.8400000000001</v>
      </c>
      <c r="G74" s="366">
        <f t="shared" si="1"/>
        <v>81.62018086625416</v>
      </c>
    </row>
    <row r="75" spans="1:7" s="23" customFormat="1" ht="12.75">
      <c r="A75" s="44" t="s">
        <v>98</v>
      </c>
      <c r="B75" s="1" t="s">
        <v>173</v>
      </c>
      <c r="C75" s="22" t="s">
        <v>316</v>
      </c>
      <c r="D75" s="18" t="s">
        <v>99</v>
      </c>
      <c r="E75" s="121">
        <f>'Пр.6 Р.П. ЦС. ВР'!E109</f>
        <v>2101</v>
      </c>
      <c r="F75" s="121">
        <f>'Пр.6 Р.П. ЦС. ВР'!F109</f>
        <v>1714.8400000000001</v>
      </c>
      <c r="G75" s="366">
        <f t="shared" si="1"/>
        <v>81.62018086625416</v>
      </c>
    </row>
    <row r="76" spans="1:7" s="23" customFormat="1" ht="39.75" customHeight="1">
      <c r="A76" s="34" t="s">
        <v>319</v>
      </c>
      <c r="B76" s="91" t="s">
        <v>301</v>
      </c>
      <c r="C76" s="22"/>
      <c r="D76" s="18"/>
      <c r="E76" s="121">
        <f>E78</f>
        <v>1262.2</v>
      </c>
      <c r="F76" s="121">
        <f>F78</f>
        <v>1261.89</v>
      </c>
      <c r="G76" s="366">
        <f t="shared" si="1"/>
        <v>99.97543970844558</v>
      </c>
    </row>
    <row r="77" spans="1:7" s="23" customFormat="1" ht="12.75">
      <c r="A77" s="21" t="s">
        <v>302</v>
      </c>
      <c r="B77" s="91" t="s">
        <v>301</v>
      </c>
      <c r="C77" s="22" t="s">
        <v>316</v>
      </c>
      <c r="D77" s="18"/>
      <c r="E77" s="121">
        <f>E78</f>
        <v>1262.2</v>
      </c>
      <c r="F77" s="121">
        <f>F78</f>
        <v>1261.89</v>
      </c>
      <c r="G77" s="366">
        <f aca="true" t="shared" si="2" ref="G77:G140">F77/E77*100</f>
        <v>99.97543970844558</v>
      </c>
    </row>
    <row r="78" spans="1:7" s="23" customFormat="1" ht="12.75">
      <c r="A78" s="44" t="s">
        <v>98</v>
      </c>
      <c r="B78" s="91" t="s">
        <v>301</v>
      </c>
      <c r="C78" s="22" t="s">
        <v>316</v>
      </c>
      <c r="D78" s="18" t="s">
        <v>99</v>
      </c>
      <c r="E78" s="121">
        <f>'Пр.6 Р.П. ЦС. ВР'!E111</f>
        <v>1262.2</v>
      </c>
      <c r="F78" s="121">
        <f>'Пр.6 Р.П. ЦС. ВР'!F111</f>
        <v>1261.89</v>
      </c>
      <c r="G78" s="366">
        <f t="shared" si="2"/>
        <v>99.97543970844558</v>
      </c>
    </row>
    <row r="79" spans="1:7" s="23" customFormat="1" ht="12.75">
      <c r="A79" s="44" t="s">
        <v>523</v>
      </c>
      <c r="B79" s="35" t="s">
        <v>522</v>
      </c>
      <c r="C79" s="22"/>
      <c r="D79" s="18"/>
      <c r="E79" s="121">
        <f>E80</f>
        <v>352.1</v>
      </c>
      <c r="F79" s="121">
        <f>F80</f>
        <v>352.1</v>
      </c>
      <c r="G79" s="366">
        <f t="shared" si="2"/>
        <v>100</v>
      </c>
    </row>
    <row r="80" spans="1:7" s="23" customFormat="1" ht="12.75">
      <c r="A80" s="21" t="s">
        <v>302</v>
      </c>
      <c r="B80" s="35" t="s">
        <v>522</v>
      </c>
      <c r="C80" s="22" t="s">
        <v>316</v>
      </c>
      <c r="D80" s="18"/>
      <c r="E80" s="121">
        <f>E81</f>
        <v>352.1</v>
      </c>
      <c r="F80" s="121">
        <f>F81</f>
        <v>352.1</v>
      </c>
      <c r="G80" s="366">
        <f t="shared" si="2"/>
        <v>100</v>
      </c>
    </row>
    <row r="81" spans="1:7" s="23" customFormat="1" ht="12.75">
      <c r="A81" s="44" t="s">
        <v>98</v>
      </c>
      <c r="B81" s="35" t="s">
        <v>522</v>
      </c>
      <c r="C81" s="22" t="s">
        <v>316</v>
      </c>
      <c r="D81" s="18" t="s">
        <v>99</v>
      </c>
      <c r="E81" s="121">
        <f>'Пр.6 Р.П. ЦС. ВР'!E115</f>
        <v>352.1</v>
      </c>
      <c r="F81" s="121">
        <f>'Пр.6 Р.П. ЦС. ВР'!F115</f>
        <v>352.1</v>
      </c>
      <c r="G81" s="366">
        <f t="shared" si="2"/>
        <v>100</v>
      </c>
    </row>
    <row r="82" spans="1:7" s="23" customFormat="1" ht="12.75">
      <c r="A82" s="44" t="s">
        <v>266</v>
      </c>
      <c r="B82" s="35" t="s">
        <v>265</v>
      </c>
      <c r="C82" s="22"/>
      <c r="D82" s="18"/>
      <c r="E82" s="121">
        <f>E83</f>
        <v>1408.5</v>
      </c>
      <c r="F82" s="121">
        <f>F83</f>
        <v>1408.5</v>
      </c>
      <c r="G82" s="366">
        <f t="shared" si="2"/>
        <v>100</v>
      </c>
    </row>
    <row r="83" spans="1:7" s="23" customFormat="1" ht="12.75">
      <c r="A83" s="21" t="s">
        <v>302</v>
      </c>
      <c r="B83" s="35" t="s">
        <v>265</v>
      </c>
      <c r="C83" s="22" t="s">
        <v>316</v>
      </c>
      <c r="D83" s="18"/>
      <c r="E83" s="121">
        <f>E84</f>
        <v>1408.5</v>
      </c>
      <c r="F83" s="121">
        <f>F84</f>
        <v>1408.5</v>
      </c>
      <c r="G83" s="366">
        <f t="shared" si="2"/>
        <v>100</v>
      </c>
    </row>
    <row r="84" spans="1:7" s="23" customFormat="1" ht="12.75">
      <c r="A84" s="44" t="s">
        <v>98</v>
      </c>
      <c r="B84" s="35" t="s">
        <v>265</v>
      </c>
      <c r="C84" s="22" t="s">
        <v>316</v>
      </c>
      <c r="D84" s="18" t="s">
        <v>99</v>
      </c>
      <c r="E84" s="121">
        <f>'Пр.6 Р.П. ЦС. ВР'!E113</f>
        <v>1408.5</v>
      </c>
      <c r="F84" s="121">
        <f>'Пр.6 Р.П. ЦС. ВР'!F113</f>
        <v>1408.5</v>
      </c>
      <c r="G84" s="366">
        <f t="shared" si="2"/>
        <v>100</v>
      </c>
    </row>
    <row r="85" spans="1:7" s="56" customFormat="1" ht="26.25" customHeight="1">
      <c r="A85" s="39" t="s">
        <v>174</v>
      </c>
      <c r="B85" s="11" t="s">
        <v>219</v>
      </c>
      <c r="C85" s="11"/>
      <c r="D85" s="10"/>
      <c r="E85" s="123">
        <f>E89+E92+E86</f>
        <v>1175.4499999999998</v>
      </c>
      <c r="F85" s="123">
        <f>F89+F92+F86</f>
        <v>1175.4</v>
      </c>
      <c r="G85" s="366">
        <f t="shared" si="2"/>
        <v>99.99574630992389</v>
      </c>
    </row>
    <row r="86" spans="1:7" s="19" customFormat="1" ht="38.25">
      <c r="A86" s="137" t="s">
        <v>348</v>
      </c>
      <c r="B86" s="1" t="s">
        <v>347</v>
      </c>
      <c r="C86" s="1"/>
      <c r="D86" s="18"/>
      <c r="E86" s="121">
        <f>E87</f>
        <v>550</v>
      </c>
      <c r="F86" s="121">
        <f>F87</f>
        <v>550</v>
      </c>
      <c r="G86" s="366">
        <f t="shared" si="2"/>
        <v>100</v>
      </c>
    </row>
    <row r="87" spans="1:7" s="19" customFormat="1" ht="12" customHeight="1">
      <c r="A87" s="138" t="s">
        <v>312</v>
      </c>
      <c r="B87" s="1" t="s">
        <v>347</v>
      </c>
      <c r="C87" s="1" t="s">
        <v>313</v>
      </c>
      <c r="D87" s="18"/>
      <c r="E87" s="121">
        <f>E88</f>
        <v>550</v>
      </c>
      <c r="F87" s="121">
        <f>F88</f>
        <v>550</v>
      </c>
      <c r="G87" s="366">
        <f t="shared" si="2"/>
        <v>100</v>
      </c>
    </row>
    <row r="88" spans="1:7" s="19" customFormat="1" ht="12" customHeight="1">
      <c r="A88" s="44" t="s">
        <v>98</v>
      </c>
      <c r="B88" s="1" t="s">
        <v>347</v>
      </c>
      <c r="C88" s="1" t="s">
        <v>313</v>
      </c>
      <c r="D88" s="18" t="s">
        <v>99</v>
      </c>
      <c r="E88" s="121">
        <f>'Пр.6 Р.П. ЦС. ВР'!E123</f>
        <v>550</v>
      </c>
      <c r="F88" s="121">
        <f>'Пр.6 Р.П. ЦС. ВР'!F123</f>
        <v>550</v>
      </c>
      <c r="G88" s="366">
        <f t="shared" si="2"/>
        <v>100</v>
      </c>
    </row>
    <row r="89" spans="1:7" s="19" customFormat="1" ht="51">
      <c r="A89" s="50" t="s">
        <v>243</v>
      </c>
      <c r="B89" s="1" t="s">
        <v>175</v>
      </c>
      <c r="C89" s="1"/>
      <c r="D89" s="18"/>
      <c r="E89" s="121">
        <f>E90</f>
        <v>625.4499999999999</v>
      </c>
      <c r="F89" s="121">
        <f>F90</f>
        <v>625.4</v>
      </c>
      <c r="G89" s="366">
        <f t="shared" si="2"/>
        <v>99.9920057558558</v>
      </c>
    </row>
    <row r="90" spans="1:7" s="19" customFormat="1" ht="12.75">
      <c r="A90" s="21" t="s">
        <v>302</v>
      </c>
      <c r="B90" s="1" t="s">
        <v>175</v>
      </c>
      <c r="C90" s="1" t="s">
        <v>316</v>
      </c>
      <c r="D90" s="18"/>
      <c r="E90" s="121">
        <f>E91</f>
        <v>625.4499999999999</v>
      </c>
      <c r="F90" s="121">
        <f>F91</f>
        <v>625.4</v>
      </c>
      <c r="G90" s="366">
        <f t="shared" si="2"/>
        <v>99.9920057558558</v>
      </c>
    </row>
    <row r="91" spans="1:7" s="19" customFormat="1" ht="15" customHeight="1">
      <c r="A91" s="44" t="s">
        <v>98</v>
      </c>
      <c r="B91" s="1" t="s">
        <v>175</v>
      </c>
      <c r="C91" s="22" t="s">
        <v>316</v>
      </c>
      <c r="D91" s="18" t="s">
        <v>99</v>
      </c>
      <c r="E91" s="121">
        <f>'Пр.6 Р.П. ЦС. ВР'!E119</f>
        <v>625.4499999999999</v>
      </c>
      <c r="F91" s="121">
        <f>'Пр.6 Р.П. ЦС. ВР'!F119</f>
        <v>625.4</v>
      </c>
      <c r="G91" s="366">
        <f t="shared" si="2"/>
        <v>99.9920057558558</v>
      </c>
    </row>
    <row r="92" spans="1:7" s="19" customFormat="1" ht="38.25" hidden="1">
      <c r="A92" s="50" t="s">
        <v>176</v>
      </c>
      <c r="B92" s="1" t="s">
        <v>177</v>
      </c>
      <c r="C92" s="1"/>
      <c r="D92" s="18"/>
      <c r="E92" s="121">
        <f>E93</f>
        <v>0</v>
      </c>
      <c r="F92" s="121">
        <f>F93</f>
        <v>0</v>
      </c>
      <c r="G92" s="366" t="e">
        <f t="shared" si="2"/>
        <v>#DIV/0!</v>
      </c>
    </row>
    <row r="93" spans="1:7" s="19" customFormat="1" ht="12.75" hidden="1">
      <c r="A93" s="21" t="s">
        <v>302</v>
      </c>
      <c r="B93" s="1" t="s">
        <v>177</v>
      </c>
      <c r="C93" s="22" t="s">
        <v>316</v>
      </c>
      <c r="D93" s="18"/>
      <c r="E93" s="121">
        <f>E94</f>
        <v>0</v>
      </c>
      <c r="F93" s="121">
        <f>F94</f>
        <v>0</v>
      </c>
      <c r="G93" s="366" t="e">
        <f t="shared" si="2"/>
        <v>#DIV/0!</v>
      </c>
    </row>
    <row r="94" spans="1:7" s="23" customFormat="1" ht="12.75" hidden="1">
      <c r="A94" s="44" t="s">
        <v>98</v>
      </c>
      <c r="B94" s="1" t="s">
        <v>177</v>
      </c>
      <c r="C94" s="22" t="s">
        <v>316</v>
      </c>
      <c r="D94" s="18" t="s">
        <v>99</v>
      </c>
      <c r="E94" s="121">
        <f>'Пр.6 Р.П. ЦС. ВР'!E121</f>
        <v>0</v>
      </c>
      <c r="F94" s="121">
        <f>'Пр.6 Р.П. ЦС. ВР'!F121</f>
        <v>0</v>
      </c>
      <c r="G94" s="366" t="e">
        <f t="shared" si="2"/>
        <v>#DIV/0!</v>
      </c>
    </row>
    <row r="95" spans="1:7" s="16" customFormat="1" ht="25.5">
      <c r="A95" s="39" t="s">
        <v>183</v>
      </c>
      <c r="B95" s="11" t="s">
        <v>1</v>
      </c>
      <c r="C95" s="11"/>
      <c r="D95" s="10"/>
      <c r="E95" s="123">
        <f>E96+E110+E123</f>
        <v>27584.4889</v>
      </c>
      <c r="F95" s="123">
        <f>F96+F110+F123</f>
        <v>26181.5779</v>
      </c>
      <c r="G95" s="366">
        <f t="shared" si="2"/>
        <v>94.91413089042227</v>
      </c>
    </row>
    <row r="96" spans="1:7" s="19" customFormat="1" ht="51">
      <c r="A96" s="39" t="s">
        <v>185</v>
      </c>
      <c r="B96" s="11" t="s">
        <v>184</v>
      </c>
      <c r="C96" s="11"/>
      <c r="D96" s="10"/>
      <c r="E96" s="123">
        <f>E97+E100+E107</f>
        <v>19662.3639</v>
      </c>
      <c r="F96" s="123">
        <f>F97+F100+F107</f>
        <v>19662.3639</v>
      </c>
      <c r="G96" s="366">
        <f t="shared" si="2"/>
        <v>100</v>
      </c>
    </row>
    <row r="97" spans="1:7" s="19" customFormat="1" ht="76.5">
      <c r="A97" s="44" t="s">
        <v>187</v>
      </c>
      <c r="B97" s="35" t="s">
        <v>245</v>
      </c>
      <c r="C97" s="11"/>
      <c r="D97" s="10"/>
      <c r="E97" s="123">
        <f>E98</f>
        <v>5355.6794199999995</v>
      </c>
      <c r="F97" s="123">
        <f>F98</f>
        <v>5355.6794199999995</v>
      </c>
      <c r="G97" s="366">
        <f t="shared" si="2"/>
        <v>100</v>
      </c>
    </row>
    <row r="98" spans="1:7" s="19" customFormat="1" ht="12.75">
      <c r="A98" s="3" t="s">
        <v>260</v>
      </c>
      <c r="B98" s="35" t="s">
        <v>245</v>
      </c>
      <c r="C98" s="1" t="s">
        <v>317</v>
      </c>
      <c r="D98" s="10"/>
      <c r="E98" s="123">
        <f>E99</f>
        <v>5355.6794199999995</v>
      </c>
      <c r="F98" s="123">
        <f>F99</f>
        <v>5355.6794199999995</v>
      </c>
      <c r="G98" s="366">
        <f t="shared" si="2"/>
        <v>100</v>
      </c>
    </row>
    <row r="99" spans="1:7" s="19" customFormat="1" ht="12.75">
      <c r="A99" s="92" t="s">
        <v>25</v>
      </c>
      <c r="B99" s="35" t="s">
        <v>245</v>
      </c>
      <c r="C99" s="1" t="s">
        <v>317</v>
      </c>
      <c r="D99" s="18" t="s">
        <v>24</v>
      </c>
      <c r="E99" s="123">
        <f>'Пр.6 Р.П. ЦС. ВР'!E158</f>
        <v>5355.6794199999995</v>
      </c>
      <c r="F99" s="123">
        <f>'Пр.6 Р.П. ЦС. ВР'!F158</f>
        <v>5355.6794199999995</v>
      </c>
      <c r="G99" s="366">
        <f t="shared" si="2"/>
        <v>100</v>
      </c>
    </row>
    <row r="100" spans="1:7" s="19" customFormat="1" ht="76.5">
      <c r="A100" s="100" t="s">
        <v>248</v>
      </c>
      <c r="B100" s="104" t="s">
        <v>186</v>
      </c>
      <c r="C100" s="104" t="s">
        <v>317</v>
      </c>
      <c r="D100" s="105" t="s">
        <v>24</v>
      </c>
      <c r="E100" s="123">
        <f>E101+E104</f>
        <v>11271.336879999999</v>
      </c>
      <c r="F100" s="123">
        <f>F101+F104</f>
        <v>11271.336879999999</v>
      </c>
      <c r="G100" s="366">
        <f t="shared" si="2"/>
        <v>100</v>
      </c>
    </row>
    <row r="101" spans="1:7" s="19" customFormat="1" ht="81" customHeight="1">
      <c r="A101" s="44" t="s">
        <v>249</v>
      </c>
      <c r="B101" s="1" t="s">
        <v>186</v>
      </c>
      <c r="C101" s="1"/>
      <c r="D101" s="18"/>
      <c r="E101" s="121">
        <f>E102</f>
        <v>4508.53475</v>
      </c>
      <c r="F101" s="121">
        <f>F102</f>
        <v>4508.53475</v>
      </c>
      <c r="G101" s="366">
        <f t="shared" si="2"/>
        <v>100</v>
      </c>
    </row>
    <row r="102" spans="1:7" s="19" customFormat="1" ht="12.75">
      <c r="A102" s="24" t="s">
        <v>309</v>
      </c>
      <c r="B102" s="1" t="s">
        <v>186</v>
      </c>
      <c r="C102" s="1" t="s">
        <v>317</v>
      </c>
      <c r="D102" s="18"/>
      <c r="E102" s="121">
        <f>E103</f>
        <v>4508.53475</v>
      </c>
      <c r="F102" s="121">
        <f>F103</f>
        <v>4508.53475</v>
      </c>
      <c r="G102" s="366">
        <f t="shared" si="2"/>
        <v>100</v>
      </c>
    </row>
    <row r="103" spans="1:7" s="19" customFormat="1" ht="12.75">
      <c r="A103" s="92" t="s">
        <v>25</v>
      </c>
      <c r="B103" s="1" t="s">
        <v>186</v>
      </c>
      <c r="C103" s="1" t="s">
        <v>317</v>
      </c>
      <c r="D103" s="18" t="s">
        <v>24</v>
      </c>
      <c r="E103" s="121">
        <f>'Пр.6 Р.П. ЦС. ВР'!E161</f>
        <v>4508.53475</v>
      </c>
      <c r="F103" s="121">
        <f>'Пр.6 Р.П. ЦС. ВР'!F161</f>
        <v>4508.53475</v>
      </c>
      <c r="G103" s="366">
        <f t="shared" si="2"/>
        <v>100</v>
      </c>
    </row>
    <row r="104" spans="1:7" s="19" customFormat="1" ht="76.5">
      <c r="A104" s="44" t="s">
        <v>247</v>
      </c>
      <c r="B104" s="1" t="s">
        <v>186</v>
      </c>
      <c r="C104" s="1"/>
      <c r="D104" s="18"/>
      <c r="E104" s="121">
        <f>E105</f>
        <v>6762.80213</v>
      </c>
      <c r="F104" s="121">
        <f>F105</f>
        <v>6762.80213</v>
      </c>
      <c r="G104" s="366">
        <f t="shared" si="2"/>
        <v>100</v>
      </c>
    </row>
    <row r="105" spans="1:7" s="19" customFormat="1" ht="12.75">
      <c r="A105" s="24" t="s">
        <v>309</v>
      </c>
      <c r="B105" s="1" t="s">
        <v>186</v>
      </c>
      <c r="C105" s="1" t="s">
        <v>317</v>
      </c>
      <c r="D105" s="18"/>
      <c r="E105" s="121">
        <f>E106</f>
        <v>6762.80213</v>
      </c>
      <c r="F105" s="121">
        <f>F106</f>
        <v>6762.80213</v>
      </c>
      <c r="G105" s="366">
        <f t="shared" si="2"/>
        <v>100</v>
      </c>
    </row>
    <row r="106" spans="1:7" s="19" customFormat="1" ht="12.75">
      <c r="A106" s="92" t="s">
        <v>25</v>
      </c>
      <c r="B106" s="1" t="s">
        <v>186</v>
      </c>
      <c r="C106" s="1" t="s">
        <v>317</v>
      </c>
      <c r="D106" s="18" t="s">
        <v>24</v>
      </c>
      <c r="E106" s="121">
        <f>'Пр.6 Р.П. ЦС. ВР'!E163</f>
        <v>6762.80213</v>
      </c>
      <c r="F106" s="121">
        <f>'Пр.6 Р.П. ЦС. ВР'!F163</f>
        <v>6762.80213</v>
      </c>
      <c r="G106" s="366">
        <f t="shared" si="2"/>
        <v>100</v>
      </c>
    </row>
    <row r="107" spans="1:7" s="19" customFormat="1" ht="63.75">
      <c r="A107" s="44" t="s">
        <v>188</v>
      </c>
      <c r="B107" s="1" t="s">
        <v>220</v>
      </c>
      <c r="C107" s="1"/>
      <c r="D107" s="18"/>
      <c r="E107" s="121">
        <f>E108</f>
        <v>3035.3476</v>
      </c>
      <c r="F107" s="121">
        <f>F108</f>
        <v>3035.3476</v>
      </c>
      <c r="G107" s="366">
        <f t="shared" si="2"/>
        <v>100</v>
      </c>
    </row>
    <row r="108" spans="1:7" s="19" customFormat="1" ht="12.75" customHeight="1">
      <c r="A108" s="3" t="s">
        <v>308</v>
      </c>
      <c r="B108" s="1" t="s">
        <v>220</v>
      </c>
      <c r="C108" s="1" t="s">
        <v>317</v>
      </c>
      <c r="D108" s="18"/>
      <c r="E108" s="121">
        <f>E109</f>
        <v>3035.3476</v>
      </c>
      <c r="F108" s="121">
        <f>F109</f>
        <v>3035.3476</v>
      </c>
      <c r="G108" s="366">
        <f t="shared" si="2"/>
        <v>100</v>
      </c>
    </row>
    <row r="109" spans="1:7" s="19" customFormat="1" ht="12.75">
      <c r="A109" s="92" t="s">
        <v>25</v>
      </c>
      <c r="B109" s="1" t="s">
        <v>220</v>
      </c>
      <c r="C109" s="1" t="s">
        <v>317</v>
      </c>
      <c r="D109" s="18" t="s">
        <v>24</v>
      </c>
      <c r="E109" s="121">
        <f>'Пр.6 Р.П. ЦС. ВР'!E165</f>
        <v>3035.3476</v>
      </c>
      <c r="F109" s="121">
        <f>'Пр.6 Р.П. ЦС. ВР'!F165</f>
        <v>3035.3476</v>
      </c>
      <c r="G109" s="366">
        <f t="shared" si="2"/>
        <v>100</v>
      </c>
    </row>
    <row r="110" spans="1:7" s="56" customFormat="1" ht="51">
      <c r="A110" s="15" t="s">
        <v>145</v>
      </c>
      <c r="B110" s="11" t="s">
        <v>10</v>
      </c>
      <c r="C110" s="11"/>
      <c r="D110" s="10"/>
      <c r="E110" s="123">
        <f>E111+E114+E117+E120</f>
        <v>7922.125</v>
      </c>
      <c r="F110" s="123">
        <f>F111+F114+F117+F120</f>
        <v>6519.214</v>
      </c>
      <c r="G110" s="366">
        <f t="shared" si="2"/>
        <v>82.29122867917383</v>
      </c>
    </row>
    <row r="111" spans="1:7" s="19" customFormat="1" ht="63.75">
      <c r="A111" s="20" t="s">
        <v>293</v>
      </c>
      <c r="B111" s="1" t="s">
        <v>144</v>
      </c>
      <c r="C111" s="1"/>
      <c r="D111" s="18"/>
      <c r="E111" s="121">
        <f>E112</f>
        <v>600</v>
      </c>
      <c r="F111" s="121">
        <f>F112</f>
        <v>485.22</v>
      </c>
      <c r="G111" s="366">
        <f t="shared" si="2"/>
        <v>80.87</v>
      </c>
    </row>
    <row r="112" spans="1:7" s="19" customFormat="1" ht="17.25" customHeight="1">
      <c r="A112" s="3" t="s">
        <v>530</v>
      </c>
      <c r="B112" s="1" t="s">
        <v>144</v>
      </c>
      <c r="C112" s="1" t="s">
        <v>315</v>
      </c>
      <c r="D112" s="18"/>
      <c r="E112" s="121">
        <f>E113</f>
        <v>600</v>
      </c>
      <c r="F112" s="121">
        <f>F113</f>
        <v>485.22</v>
      </c>
      <c r="G112" s="366">
        <f t="shared" si="2"/>
        <v>80.87</v>
      </c>
    </row>
    <row r="113" spans="1:7" s="19" customFormat="1" ht="11.25" customHeight="1">
      <c r="A113" s="38" t="s">
        <v>71</v>
      </c>
      <c r="B113" s="1" t="s">
        <v>144</v>
      </c>
      <c r="C113" s="1" t="s">
        <v>315</v>
      </c>
      <c r="D113" s="18" t="s">
        <v>70</v>
      </c>
      <c r="E113" s="121">
        <f>'Пр.6 Р.П. ЦС. ВР'!E292</f>
        <v>600</v>
      </c>
      <c r="F113" s="121">
        <f>'Пр.6 Р.П. ЦС. ВР'!F292</f>
        <v>485.22</v>
      </c>
      <c r="G113" s="366">
        <f t="shared" si="2"/>
        <v>80.87</v>
      </c>
    </row>
    <row r="114" spans="1:7" ht="12.75">
      <c r="A114" s="20" t="s">
        <v>272</v>
      </c>
      <c r="B114" s="1" t="s">
        <v>271</v>
      </c>
      <c r="C114" s="1"/>
      <c r="D114" s="18"/>
      <c r="E114" s="121">
        <f>E115</f>
        <v>896.5</v>
      </c>
      <c r="F114" s="121">
        <f>F115</f>
        <v>681.5</v>
      </c>
      <c r="G114" s="366">
        <f t="shared" si="2"/>
        <v>76.01784718349136</v>
      </c>
    </row>
    <row r="115" spans="1:7" ht="15" customHeight="1">
      <c r="A115" s="3" t="s">
        <v>530</v>
      </c>
      <c r="B115" s="1" t="s">
        <v>271</v>
      </c>
      <c r="C115" s="1" t="s">
        <v>315</v>
      </c>
      <c r="D115" s="18"/>
      <c r="E115" s="121">
        <f>E116</f>
        <v>896.5</v>
      </c>
      <c r="F115" s="121">
        <f>F116</f>
        <v>681.5</v>
      </c>
      <c r="G115" s="366">
        <f t="shared" si="2"/>
        <v>76.01784718349136</v>
      </c>
    </row>
    <row r="116" spans="1:7" ht="15">
      <c r="A116" s="119" t="s">
        <v>71</v>
      </c>
      <c r="B116" s="1" t="s">
        <v>271</v>
      </c>
      <c r="C116" s="1" t="s">
        <v>315</v>
      </c>
      <c r="D116" s="18" t="s">
        <v>70</v>
      </c>
      <c r="E116" s="121">
        <f>'Пр.6 Р.П. ЦС. ВР'!E295</f>
        <v>896.5</v>
      </c>
      <c r="F116" s="121">
        <f>'Пр.6 Р.П. ЦС. ВР'!F295</f>
        <v>681.5</v>
      </c>
      <c r="G116" s="366">
        <f t="shared" si="2"/>
        <v>76.01784718349136</v>
      </c>
    </row>
    <row r="117" spans="1:7" ht="25.5">
      <c r="A117" s="20" t="s">
        <v>288</v>
      </c>
      <c r="B117" s="1" t="s">
        <v>273</v>
      </c>
      <c r="C117" s="1"/>
      <c r="D117" s="18"/>
      <c r="E117" s="121">
        <f>E118</f>
        <v>1835.964</v>
      </c>
      <c r="F117" s="121">
        <f>F118</f>
        <v>1835.964</v>
      </c>
      <c r="G117" s="366">
        <f t="shared" si="2"/>
        <v>100</v>
      </c>
    </row>
    <row r="118" spans="1:7" ht="18" customHeight="1">
      <c r="A118" s="3" t="s">
        <v>530</v>
      </c>
      <c r="B118" s="1" t="s">
        <v>273</v>
      </c>
      <c r="C118" s="1" t="s">
        <v>315</v>
      </c>
      <c r="D118" s="18"/>
      <c r="E118" s="121">
        <f>E119</f>
        <v>1835.964</v>
      </c>
      <c r="F118" s="121">
        <f>F119</f>
        <v>1835.964</v>
      </c>
      <c r="G118" s="366">
        <f t="shared" si="2"/>
        <v>100</v>
      </c>
    </row>
    <row r="119" spans="1:7" ht="15">
      <c r="A119" s="119" t="s">
        <v>71</v>
      </c>
      <c r="B119" s="1" t="s">
        <v>273</v>
      </c>
      <c r="C119" s="1" t="s">
        <v>315</v>
      </c>
      <c r="D119" s="18" t="s">
        <v>70</v>
      </c>
      <c r="E119" s="121">
        <f>'Пр.6 Р.П. ЦС. ВР'!E298</f>
        <v>1835.964</v>
      </c>
      <c r="F119" s="121">
        <f>'Пр.6 Р.П. ЦС. ВР'!F298</f>
        <v>1835.964</v>
      </c>
      <c r="G119" s="366">
        <f t="shared" si="2"/>
        <v>100</v>
      </c>
    </row>
    <row r="120" spans="1:7" ht="12.75">
      <c r="A120" s="20" t="s">
        <v>275</v>
      </c>
      <c r="B120" s="1" t="s">
        <v>274</v>
      </c>
      <c r="C120" s="1"/>
      <c r="D120" s="18"/>
      <c r="E120" s="121">
        <f>E121</f>
        <v>4589.661</v>
      </c>
      <c r="F120" s="121">
        <f>F121</f>
        <v>3516.53</v>
      </c>
      <c r="G120" s="366">
        <f t="shared" si="2"/>
        <v>76.61851278340602</v>
      </c>
    </row>
    <row r="121" spans="1:7" ht="12.75" customHeight="1">
      <c r="A121" s="3" t="s">
        <v>530</v>
      </c>
      <c r="B121" s="1" t="s">
        <v>274</v>
      </c>
      <c r="C121" s="1" t="s">
        <v>315</v>
      </c>
      <c r="D121" s="18"/>
      <c r="E121" s="121">
        <f>E122</f>
        <v>4589.661</v>
      </c>
      <c r="F121" s="121">
        <f>F122</f>
        <v>3516.53</v>
      </c>
      <c r="G121" s="366">
        <f t="shared" si="2"/>
        <v>76.61851278340602</v>
      </c>
    </row>
    <row r="122" spans="1:7" ht="15">
      <c r="A122" s="119" t="s">
        <v>71</v>
      </c>
      <c r="B122" s="1" t="s">
        <v>274</v>
      </c>
      <c r="C122" s="1" t="s">
        <v>315</v>
      </c>
      <c r="D122" s="18" t="s">
        <v>70</v>
      </c>
      <c r="E122" s="121">
        <f>'Пр.6 Р.П. ЦС. ВР'!E301</f>
        <v>4589.661</v>
      </c>
      <c r="F122" s="121">
        <f>'Пр.6 Р.П. ЦС. ВР'!F301</f>
        <v>3516.53</v>
      </c>
      <c r="G122" s="366">
        <f t="shared" si="2"/>
        <v>76.61851278340602</v>
      </c>
    </row>
    <row r="123" spans="1:7" s="19" customFormat="1" ht="25.5" hidden="1">
      <c r="A123" s="39" t="s">
        <v>183</v>
      </c>
      <c r="B123" s="11" t="s">
        <v>263</v>
      </c>
      <c r="C123" s="1"/>
      <c r="D123" s="18"/>
      <c r="E123" s="121">
        <f>E124+E127</f>
        <v>0</v>
      </c>
      <c r="F123" s="121">
        <f>F124+F127</f>
        <v>0</v>
      </c>
      <c r="G123" s="366" t="e">
        <f t="shared" si="2"/>
        <v>#DIV/0!</v>
      </c>
    </row>
    <row r="124" spans="1:7" s="19" customFormat="1" ht="63.75" hidden="1">
      <c r="A124" s="44" t="s">
        <v>269</v>
      </c>
      <c r="B124" s="1" t="s">
        <v>264</v>
      </c>
      <c r="C124" s="35" t="s">
        <v>259</v>
      </c>
      <c r="D124" s="18"/>
      <c r="E124" s="121">
        <f>E125</f>
        <v>0</v>
      </c>
      <c r="F124" s="121">
        <f>F125</f>
        <v>0</v>
      </c>
      <c r="G124" s="366" t="e">
        <f t="shared" si="2"/>
        <v>#DIV/0!</v>
      </c>
    </row>
    <row r="125" spans="1:7" s="19" customFormat="1" ht="12.75" hidden="1">
      <c r="A125" s="34" t="s">
        <v>260</v>
      </c>
      <c r="B125" s="1" t="s">
        <v>264</v>
      </c>
      <c r="C125" s="35" t="s">
        <v>259</v>
      </c>
      <c r="D125" s="18"/>
      <c r="E125" s="121">
        <f>E126</f>
        <v>0</v>
      </c>
      <c r="F125" s="121">
        <f>F126</f>
        <v>0</v>
      </c>
      <c r="G125" s="366" t="e">
        <f t="shared" si="2"/>
        <v>#DIV/0!</v>
      </c>
    </row>
    <row r="126" spans="1:7" s="19" customFormat="1" ht="12.75" hidden="1">
      <c r="A126" s="92" t="s">
        <v>25</v>
      </c>
      <c r="B126" s="1" t="s">
        <v>264</v>
      </c>
      <c r="C126" s="35" t="s">
        <v>259</v>
      </c>
      <c r="D126" s="18" t="s">
        <v>24</v>
      </c>
      <c r="E126" s="121">
        <f>'Пр.6 Р.П. ЦС. ВР'!E168</f>
        <v>0</v>
      </c>
      <c r="F126" s="121">
        <f>'Пр.6 Р.П. ЦС. ВР'!F168</f>
        <v>0</v>
      </c>
      <c r="G126" s="366" t="e">
        <f t="shared" si="2"/>
        <v>#DIV/0!</v>
      </c>
    </row>
    <row r="127" spans="1:7" s="19" customFormat="1" ht="25.5" hidden="1">
      <c r="A127" s="44" t="s">
        <v>281</v>
      </c>
      <c r="B127" s="35" t="s">
        <v>280</v>
      </c>
      <c r="C127" s="120"/>
      <c r="D127" s="18"/>
      <c r="E127" s="121">
        <f>E128</f>
        <v>0</v>
      </c>
      <c r="F127" s="121">
        <f>F128</f>
        <v>0</v>
      </c>
      <c r="G127" s="366" t="e">
        <f t="shared" si="2"/>
        <v>#DIV/0!</v>
      </c>
    </row>
    <row r="128" spans="1:7" s="19" customFormat="1" ht="12.75" hidden="1">
      <c r="A128" s="34" t="s">
        <v>260</v>
      </c>
      <c r="B128" s="35" t="s">
        <v>280</v>
      </c>
      <c r="C128" s="35" t="s">
        <v>259</v>
      </c>
      <c r="D128" s="18"/>
      <c r="E128" s="121">
        <f>E129</f>
        <v>0</v>
      </c>
      <c r="F128" s="121">
        <f>F129</f>
        <v>0</v>
      </c>
      <c r="G128" s="366" t="e">
        <f t="shared" si="2"/>
        <v>#DIV/0!</v>
      </c>
    </row>
    <row r="129" spans="1:7" s="19" customFormat="1" ht="12.75" hidden="1">
      <c r="A129" s="92" t="s">
        <v>25</v>
      </c>
      <c r="B129" s="35" t="s">
        <v>280</v>
      </c>
      <c r="C129" s="35" t="s">
        <v>259</v>
      </c>
      <c r="D129" s="18" t="s">
        <v>24</v>
      </c>
      <c r="E129" s="121">
        <f>'Пр.6 Р.П. ЦС. ВР'!E170</f>
        <v>0</v>
      </c>
      <c r="F129" s="121">
        <f>'Пр.6 Р.П. ЦС. ВР'!F170</f>
        <v>0</v>
      </c>
      <c r="G129" s="366" t="e">
        <f t="shared" si="2"/>
        <v>#DIV/0!</v>
      </c>
    </row>
    <row r="130" spans="1:7" s="56" customFormat="1" ht="12.75">
      <c r="A130" s="13" t="s">
        <v>160</v>
      </c>
      <c r="B130" s="11" t="s">
        <v>2</v>
      </c>
      <c r="C130" s="11"/>
      <c r="D130" s="10"/>
      <c r="E130" s="123">
        <f>E131+E135+E139+E143</f>
        <v>1510.2800000000002</v>
      </c>
      <c r="F130" s="123">
        <f>F131+F135+F139+F143</f>
        <v>1510.2800000000002</v>
      </c>
      <c r="G130" s="366">
        <f t="shared" si="2"/>
        <v>100</v>
      </c>
    </row>
    <row r="131" spans="1:7" s="19" customFormat="1" ht="25.5" hidden="1">
      <c r="A131" s="39" t="s">
        <v>166</v>
      </c>
      <c r="B131" s="11" t="s">
        <v>6</v>
      </c>
      <c r="C131" s="11"/>
      <c r="D131" s="10"/>
      <c r="E131" s="123">
        <f aca="true" t="shared" si="3" ref="E131:F133">E132</f>
        <v>0</v>
      </c>
      <c r="F131" s="123">
        <f t="shared" si="3"/>
        <v>0</v>
      </c>
      <c r="G131" s="366" t="e">
        <f t="shared" si="2"/>
        <v>#DIV/0!</v>
      </c>
    </row>
    <row r="132" spans="1:7" s="19" customFormat="1" ht="38.25" hidden="1">
      <c r="A132" s="44" t="s">
        <v>292</v>
      </c>
      <c r="B132" s="1" t="s">
        <v>221</v>
      </c>
      <c r="C132" s="1"/>
      <c r="D132" s="18"/>
      <c r="E132" s="121">
        <f t="shared" si="3"/>
        <v>0</v>
      </c>
      <c r="F132" s="121">
        <f t="shared" si="3"/>
        <v>0</v>
      </c>
      <c r="G132" s="366" t="e">
        <f t="shared" si="2"/>
        <v>#DIV/0!</v>
      </c>
    </row>
    <row r="133" spans="1:7" s="19" customFormat="1" ht="12.75" hidden="1">
      <c r="A133" s="24" t="s">
        <v>38</v>
      </c>
      <c r="B133" s="1" t="s">
        <v>221</v>
      </c>
      <c r="C133" s="1" t="s">
        <v>61</v>
      </c>
      <c r="D133" s="18"/>
      <c r="E133" s="121">
        <f t="shared" si="3"/>
        <v>0</v>
      </c>
      <c r="F133" s="121">
        <f t="shared" si="3"/>
        <v>0</v>
      </c>
      <c r="G133" s="366" t="e">
        <f t="shared" si="2"/>
        <v>#DIV/0!</v>
      </c>
    </row>
    <row r="134" spans="1:7" s="19" customFormat="1" ht="12.75" hidden="1">
      <c r="A134" s="31" t="s">
        <v>102</v>
      </c>
      <c r="B134" s="1" t="s">
        <v>221</v>
      </c>
      <c r="C134" s="1" t="s">
        <v>61</v>
      </c>
      <c r="D134" s="18" t="s">
        <v>103</v>
      </c>
      <c r="E134" s="121">
        <f>'Пр.6 Р.П. ЦС. ВР'!E103</f>
        <v>0</v>
      </c>
      <c r="F134" s="121">
        <f>'Пр.6 Р.П. ЦС. ВР'!F103</f>
        <v>0</v>
      </c>
      <c r="G134" s="366" t="e">
        <f t="shared" si="2"/>
        <v>#DIV/0!</v>
      </c>
    </row>
    <row r="135" spans="1:7" s="16" customFormat="1" ht="30" customHeight="1">
      <c r="A135" s="15" t="s">
        <v>161</v>
      </c>
      <c r="B135" s="1" t="s">
        <v>162</v>
      </c>
      <c r="C135" s="11"/>
      <c r="D135" s="11"/>
      <c r="E135" s="123">
        <f aca="true" t="shared" si="4" ref="E135:F137">E136</f>
        <v>495.09000000000003</v>
      </c>
      <c r="F135" s="123">
        <f t="shared" si="4"/>
        <v>495.09000000000003</v>
      </c>
      <c r="G135" s="366">
        <f t="shared" si="2"/>
        <v>100</v>
      </c>
    </row>
    <row r="136" spans="1:7" s="19" customFormat="1" ht="51">
      <c r="A136" s="21" t="s">
        <v>163</v>
      </c>
      <c r="B136" s="1" t="s">
        <v>162</v>
      </c>
      <c r="C136" s="1"/>
      <c r="D136" s="1"/>
      <c r="E136" s="121">
        <f t="shared" si="4"/>
        <v>495.09000000000003</v>
      </c>
      <c r="F136" s="121">
        <f t="shared" si="4"/>
        <v>495.09000000000003</v>
      </c>
      <c r="G136" s="366">
        <f t="shared" si="2"/>
        <v>100</v>
      </c>
    </row>
    <row r="137" spans="1:7" s="19" customFormat="1" ht="12.75">
      <c r="A137" s="21" t="s">
        <v>302</v>
      </c>
      <c r="B137" s="1" t="s">
        <v>162</v>
      </c>
      <c r="C137" s="1" t="s">
        <v>316</v>
      </c>
      <c r="D137" s="1"/>
      <c r="E137" s="121">
        <f t="shared" si="4"/>
        <v>495.09000000000003</v>
      </c>
      <c r="F137" s="121">
        <f t="shared" si="4"/>
        <v>495.09000000000003</v>
      </c>
      <c r="G137" s="366">
        <f t="shared" si="2"/>
        <v>100</v>
      </c>
    </row>
    <row r="138" spans="1:7" s="19" customFormat="1" ht="21" customHeight="1">
      <c r="A138" s="38" t="s">
        <v>89</v>
      </c>
      <c r="B138" s="1" t="s">
        <v>162</v>
      </c>
      <c r="C138" s="1" t="s">
        <v>316</v>
      </c>
      <c r="D138" s="18" t="s">
        <v>68</v>
      </c>
      <c r="E138" s="121">
        <f>'Пр.6 Р.П. ЦС. ВР'!E93</f>
        <v>495.09000000000003</v>
      </c>
      <c r="F138" s="121">
        <f>'Пр.6 Р.П. ЦС. ВР'!F93</f>
        <v>495.09000000000003</v>
      </c>
      <c r="G138" s="366">
        <f t="shared" si="2"/>
        <v>100</v>
      </c>
    </row>
    <row r="139" spans="1:7" s="19" customFormat="1" ht="25.5" hidden="1">
      <c r="A139" s="93" t="s">
        <v>222</v>
      </c>
      <c r="B139" s="94" t="s">
        <v>8</v>
      </c>
      <c r="C139" s="95"/>
      <c r="D139" s="11"/>
      <c r="E139" s="123">
        <f aca="true" t="shared" si="5" ref="E139:F141">E140</f>
        <v>0</v>
      </c>
      <c r="F139" s="123">
        <f t="shared" si="5"/>
        <v>0</v>
      </c>
      <c r="G139" s="366" t="e">
        <f t="shared" si="2"/>
        <v>#DIV/0!</v>
      </c>
    </row>
    <row r="140" spans="1:7" ht="25.5" hidden="1">
      <c r="A140" s="50" t="s">
        <v>164</v>
      </c>
      <c r="B140" s="35" t="s">
        <v>165</v>
      </c>
      <c r="C140" s="1"/>
      <c r="D140" s="47"/>
      <c r="E140" s="124">
        <f t="shared" si="5"/>
        <v>0</v>
      </c>
      <c r="F140" s="124">
        <f t="shared" si="5"/>
        <v>0</v>
      </c>
      <c r="G140" s="366" t="e">
        <f t="shared" si="2"/>
        <v>#DIV/0!</v>
      </c>
    </row>
    <row r="141" spans="1:7" ht="12.75" hidden="1">
      <c r="A141" s="21" t="s">
        <v>302</v>
      </c>
      <c r="B141" s="35" t="s">
        <v>165</v>
      </c>
      <c r="C141" s="1" t="s">
        <v>316</v>
      </c>
      <c r="D141" s="36"/>
      <c r="E141" s="124">
        <f t="shared" si="5"/>
        <v>0</v>
      </c>
      <c r="F141" s="124">
        <f t="shared" si="5"/>
        <v>0</v>
      </c>
      <c r="G141" s="366" t="e">
        <f aca="true" t="shared" si="6" ref="G141:G204">F141/E141*100</f>
        <v>#DIV/0!</v>
      </c>
    </row>
    <row r="142" spans="1:7" s="19" customFormat="1" ht="12.75" hidden="1">
      <c r="A142" s="44" t="s">
        <v>104</v>
      </c>
      <c r="B142" s="35" t="s">
        <v>165</v>
      </c>
      <c r="C142" s="1" t="s">
        <v>316</v>
      </c>
      <c r="D142" s="18" t="s">
        <v>105</v>
      </c>
      <c r="E142" s="121">
        <f>'Пр.6 Р.П. ЦС. ВР'!E98</f>
        <v>0</v>
      </c>
      <c r="F142" s="121">
        <f>'Пр.6 Р.П. ЦС. ВР'!F98</f>
        <v>0</v>
      </c>
      <c r="G142" s="366" t="e">
        <f t="shared" si="6"/>
        <v>#DIV/0!</v>
      </c>
    </row>
    <row r="143" spans="1:7" s="56" customFormat="1" ht="38.25">
      <c r="A143" s="15" t="s">
        <v>128</v>
      </c>
      <c r="B143" s="11" t="s">
        <v>9</v>
      </c>
      <c r="C143" s="11"/>
      <c r="D143" s="10"/>
      <c r="E143" s="123">
        <f>E144+E149</f>
        <v>1015.19</v>
      </c>
      <c r="F143" s="123">
        <f>F144+F149</f>
        <v>1015.19</v>
      </c>
      <c r="G143" s="366">
        <f t="shared" si="6"/>
        <v>100</v>
      </c>
    </row>
    <row r="144" spans="1:7" s="19" customFormat="1" ht="63.75">
      <c r="A144" s="21" t="s">
        <v>132</v>
      </c>
      <c r="B144" s="1" t="s">
        <v>131</v>
      </c>
      <c r="C144" s="1"/>
      <c r="D144" s="18"/>
      <c r="E144" s="121">
        <f>E145+E147</f>
        <v>502.1</v>
      </c>
      <c r="F144" s="121">
        <f>F145+F147</f>
        <v>502.1</v>
      </c>
      <c r="G144" s="366">
        <f t="shared" si="6"/>
        <v>100</v>
      </c>
    </row>
    <row r="145" spans="1:7" s="14" customFormat="1" ht="12.75">
      <c r="A145" s="31" t="s">
        <v>304</v>
      </c>
      <c r="B145" s="1" t="s">
        <v>131</v>
      </c>
      <c r="C145" s="1" t="s">
        <v>305</v>
      </c>
      <c r="D145" s="18"/>
      <c r="E145" s="121">
        <f>E146</f>
        <v>470.29964</v>
      </c>
      <c r="F145" s="121">
        <f>F146</f>
        <v>470.29964</v>
      </c>
      <c r="G145" s="366">
        <f t="shared" si="6"/>
        <v>100</v>
      </c>
    </row>
    <row r="146" spans="1:7" s="16" customFormat="1" ht="12.75">
      <c r="A146" s="107" t="s">
        <v>44</v>
      </c>
      <c r="B146" s="1" t="s">
        <v>131</v>
      </c>
      <c r="C146" s="1" t="s">
        <v>305</v>
      </c>
      <c r="D146" s="18" t="s">
        <v>42</v>
      </c>
      <c r="E146" s="121">
        <f>'Пр.6 Р.П. ЦС. ВР'!E75</f>
        <v>470.29964</v>
      </c>
      <c r="F146" s="121">
        <f>'Пр.6 Р.П. ЦС. ВР'!F75</f>
        <v>470.29964</v>
      </c>
      <c r="G146" s="366">
        <f t="shared" si="6"/>
        <v>100</v>
      </c>
    </row>
    <row r="147" spans="1:7" s="16" customFormat="1" ht="12.75">
      <c r="A147" s="21" t="s">
        <v>302</v>
      </c>
      <c r="B147" s="1" t="s">
        <v>131</v>
      </c>
      <c r="C147" s="1" t="s">
        <v>316</v>
      </c>
      <c r="D147" s="10"/>
      <c r="E147" s="121">
        <f>E148</f>
        <v>31.800359999999998</v>
      </c>
      <c r="F147" s="121">
        <f>F148</f>
        <v>31.800359999999998</v>
      </c>
      <c r="G147" s="366">
        <f t="shared" si="6"/>
        <v>100</v>
      </c>
    </row>
    <row r="148" spans="1:7" s="16" customFormat="1" ht="12.75">
      <c r="A148" s="107" t="s">
        <v>44</v>
      </c>
      <c r="B148" s="1" t="s">
        <v>131</v>
      </c>
      <c r="C148" s="1" t="s">
        <v>316</v>
      </c>
      <c r="D148" s="18" t="s">
        <v>42</v>
      </c>
      <c r="E148" s="121">
        <f>'Пр.6 Р.П. ЦС. ВР'!E76</f>
        <v>31.800359999999998</v>
      </c>
      <c r="F148" s="121">
        <f>'Пр.6 Р.П. ЦС. ВР'!F76</f>
        <v>31.800359999999998</v>
      </c>
      <c r="G148" s="366">
        <f t="shared" si="6"/>
        <v>100</v>
      </c>
    </row>
    <row r="149" spans="1:7" s="19" customFormat="1" ht="63.75">
      <c r="A149" s="21" t="s">
        <v>129</v>
      </c>
      <c r="B149" s="1" t="s">
        <v>130</v>
      </c>
      <c r="C149" s="1"/>
      <c r="D149" s="18"/>
      <c r="E149" s="121">
        <f>E150+E152</f>
        <v>513.09</v>
      </c>
      <c r="F149" s="121">
        <f>F150+F152</f>
        <v>513.09</v>
      </c>
      <c r="G149" s="366">
        <f t="shared" si="6"/>
        <v>100</v>
      </c>
    </row>
    <row r="150" spans="1:7" s="19" customFormat="1" ht="12.75">
      <c r="A150" s="31" t="s">
        <v>304</v>
      </c>
      <c r="B150" s="1" t="s">
        <v>130</v>
      </c>
      <c r="C150" s="1" t="s">
        <v>305</v>
      </c>
      <c r="D150" s="18"/>
      <c r="E150" s="121">
        <f>E151</f>
        <v>502.82917</v>
      </c>
      <c r="F150" s="121">
        <f>F151</f>
        <v>502.82917</v>
      </c>
      <c r="G150" s="366">
        <f t="shared" si="6"/>
        <v>100</v>
      </c>
    </row>
    <row r="151" spans="1:7" s="9" customFormat="1" ht="12.75">
      <c r="A151" s="107" t="s">
        <v>44</v>
      </c>
      <c r="B151" s="1" t="s">
        <v>130</v>
      </c>
      <c r="C151" s="1" t="s">
        <v>305</v>
      </c>
      <c r="D151" s="1" t="s">
        <v>42</v>
      </c>
      <c r="E151" s="121">
        <f>'Пр.6 Р.П. ЦС. ВР'!E78</f>
        <v>502.82917</v>
      </c>
      <c r="F151" s="121">
        <f>'Пр.6 Р.П. ЦС. ВР'!F78</f>
        <v>502.82917</v>
      </c>
      <c r="G151" s="366">
        <f t="shared" si="6"/>
        <v>100</v>
      </c>
    </row>
    <row r="152" spans="1:7" s="19" customFormat="1" ht="12.75">
      <c r="A152" s="21" t="s">
        <v>302</v>
      </c>
      <c r="B152" s="1" t="s">
        <v>130</v>
      </c>
      <c r="C152" s="1" t="s">
        <v>316</v>
      </c>
      <c r="D152" s="18"/>
      <c r="E152" s="121">
        <f>E153</f>
        <v>10.26083</v>
      </c>
      <c r="F152" s="121">
        <f>F153</f>
        <v>10.26083</v>
      </c>
      <c r="G152" s="366">
        <f t="shared" si="6"/>
        <v>100</v>
      </c>
    </row>
    <row r="153" spans="1:7" s="19" customFormat="1" ht="12.75">
      <c r="A153" s="107" t="s">
        <v>44</v>
      </c>
      <c r="B153" s="1" t="s">
        <v>130</v>
      </c>
      <c r="C153" s="1" t="s">
        <v>316</v>
      </c>
      <c r="D153" s="18" t="s">
        <v>42</v>
      </c>
      <c r="E153" s="121">
        <f>'Пр.6 Р.П. ЦС. ВР'!E79</f>
        <v>10.26083</v>
      </c>
      <c r="F153" s="121">
        <f>'Пр.6 Р.П. ЦС. ВР'!F79</f>
        <v>10.26083</v>
      </c>
      <c r="G153" s="366">
        <f t="shared" si="6"/>
        <v>100</v>
      </c>
    </row>
    <row r="154" spans="1:7" s="19" customFormat="1" ht="25.5">
      <c r="A154" s="13" t="s">
        <v>223</v>
      </c>
      <c r="B154" s="11" t="s">
        <v>3</v>
      </c>
      <c r="C154" s="11"/>
      <c r="D154" s="10"/>
      <c r="E154" s="123">
        <f>E155+E165+E169</f>
        <v>13370.380000000001</v>
      </c>
      <c r="F154" s="123">
        <f>F155+F165+F169</f>
        <v>13370.010000000002</v>
      </c>
      <c r="G154" s="366">
        <f t="shared" si="6"/>
        <v>99.9972326889737</v>
      </c>
    </row>
    <row r="155" spans="1:7" s="19" customFormat="1" ht="38.25">
      <c r="A155" s="15" t="s">
        <v>137</v>
      </c>
      <c r="B155" s="11" t="s">
        <v>11</v>
      </c>
      <c r="C155" s="11"/>
      <c r="D155" s="10"/>
      <c r="E155" s="123">
        <f>E156</f>
        <v>3845.28</v>
      </c>
      <c r="F155" s="123">
        <f>F156</f>
        <v>3845.06</v>
      </c>
      <c r="G155" s="366">
        <f t="shared" si="6"/>
        <v>99.99427870012066</v>
      </c>
    </row>
    <row r="156" spans="1:7" s="19" customFormat="1" ht="38.25">
      <c r="A156" s="21" t="s">
        <v>138</v>
      </c>
      <c r="B156" s="1" t="s">
        <v>21</v>
      </c>
      <c r="C156" s="1"/>
      <c r="D156" s="18"/>
      <c r="E156" s="121">
        <f>E157+E159+E161+E163</f>
        <v>3845.28</v>
      </c>
      <c r="F156" s="121">
        <f>F157+F159+F161+F163</f>
        <v>3845.06</v>
      </c>
      <c r="G156" s="366">
        <f t="shared" si="6"/>
        <v>99.99427870012066</v>
      </c>
    </row>
    <row r="157" spans="1:7" s="19" customFormat="1" ht="15" customHeight="1">
      <c r="A157" s="130" t="s">
        <v>306</v>
      </c>
      <c r="B157" s="1" t="s">
        <v>21</v>
      </c>
      <c r="C157" s="1" t="s">
        <v>310</v>
      </c>
      <c r="D157" s="18"/>
      <c r="E157" s="121">
        <f>E158</f>
        <v>2849.11</v>
      </c>
      <c r="F157" s="121">
        <f>F158</f>
        <v>2849.1</v>
      </c>
      <c r="G157" s="366">
        <f t="shared" si="6"/>
        <v>99.99964901320061</v>
      </c>
    </row>
    <row r="158" spans="1:7" s="19" customFormat="1" ht="12.75">
      <c r="A158" s="38" t="s">
        <v>18</v>
      </c>
      <c r="B158" s="1" t="s">
        <v>21</v>
      </c>
      <c r="C158" s="1" t="s">
        <v>310</v>
      </c>
      <c r="D158" s="18" t="s">
        <v>17</v>
      </c>
      <c r="E158" s="121">
        <f>'Пр.6 Р.П. ЦС. ВР'!E266</f>
        <v>2849.11</v>
      </c>
      <c r="F158" s="121">
        <f>'Пр.6 Р.П. ЦС. ВР'!F266</f>
        <v>2849.1</v>
      </c>
      <c r="G158" s="366">
        <f t="shared" si="6"/>
        <v>99.99964901320061</v>
      </c>
    </row>
    <row r="159" spans="1:7" s="16" customFormat="1" ht="12.75" hidden="1">
      <c r="A159" s="21" t="s">
        <v>59</v>
      </c>
      <c r="B159" s="1" t="s">
        <v>21</v>
      </c>
      <c r="C159" s="1" t="s">
        <v>60</v>
      </c>
      <c r="D159" s="10"/>
      <c r="E159" s="121">
        <f>E160</f>
        <v>0</v>
      </c>
      <c r="F159" s="121">
        <f>F160</f>
        <v>0</v>
      </c>
      <c r="G159" s="366" t="e">
        <f t="shared" si="6"/>
        <v>#DIV/0!</v>
      </c>
    </row>
    <row r="160" spans="1:7" s="16" customFormat="1" ht="12.75" hidden="1">
      <c r="A160" s="38" t="s">
        <v>18</v>
      </c>
      <c r="B160" s="1" t="s">
        <v>21</v>
      </c>
      <c r="C160" s="1" t="s">
        <v>60</v>
      </c>
      <c r="D160" s="18" t="s">
        <v>17</v>
      </c>
      <c r="E160" s="121">
        <f>'Пр.6 Р.П. ЦС. ВР'!E267</f>
        <v>0</v>
      </c>
      <c r="F160" s="121">
        <f>'Пр.6 Р.П. ЦС. ВР'!F267</f>
        <v>0</v>
      </c>
      <c r="G160" s="366" t="e">
        <f t="shared" si="6"/>
        <v>#DIV/0!</v>
      </c>
    </row>
    <row r="161" spans="1:7" s="19" customFormat="1" ht="12.75">
      <c r="A161" s="21" t="s">
        <v>302</v>
      </c>
      <c r="B161" s="1" t="s">
        <v>21</v>
      </c>
      <c r="C161" s="1" t="s">
        <v>316</v>
      </c>
      <c r="D161" s="18"/>
      <c r="E161" s="121">
        <f>E162</f>
        <v>996.17</v>
      </c>
      <c r="F161" s="121">
        <f>F162</f>
        <v>995.9599999999999</v>
      </c>
      <c r="G161" s="366">
        <f t="shared" si="6"/>
        <v>99.97891926076873</v>
      </c>
    </row>
    <row r="162" spans="1:7" s="19" customFormat="1" ht="12.75">
      <c r="A162" s="38" t="s">
        <v>18</v>
      </c>
      <c r="B162" s="1" t="s">
        <v>21</v>
      </c>
      <c r="C162" s="1" t="s">
        <v>316</v>
      </c>
      <c r="D162" s="18" t="s">
        <v>17</v>
      </c>
      <c r="E162" s="121">
        <f>'Пр.6 Р.П. ЦС. ВР'!E268</f>
        <v>996.17</v>
      </c>
      <c r="F162" s="121">
        <f>'Пр.6 Р.П. ЦС. ВР'!F268</f>
        <v>995.9599999999999</v>
      </c>
      <c r="G162" s="366">
        <f t="shared" si="6"/>
        <v>99.97891926076873</v>
      </c>
    </row>
    <row r="163" spans="1:7" s="19" customFormat="1" ht="15.75" customHeight="1" hidden="1">
      <c r="A163" s="3" t="s">
        <v>307</v>
      </c>
      <c r="B163" s="1" t="s">
        <v>21</v>
      </c>
      <c r="C163" s="1" t="s">
        <v>311</v>
      </c>
      <c r="D163" s="18"/>
      <c r="E163" s="121">
        <f>E164</f>
        <v>0</v>
      </c>
      <c r="F163" s="121">
        <f>F164</f>
        <v>0</v>
      </c>
      <c r="G163" s="366" t="e">
        <f t="shared" si="6"/>
        <v>#DIV/0!</v>
      </c>
    </row>
    <row r="164" spans="1:7" s="19" customFormat="1" ht="12.75" hidden="1">
      <c r="A164" s="38" t="s">
        <v>18</v>
      </c>
      <c r="B164" s="1" t="s">
        <v>21</v>
      </c>
      <c r="C164" s="1" t="s">
        <v>311</v>
      </c>
      <c r="D164" s="18" t="s">
        <v>17</v>
      </c>
      <c r="E164" s="121">
        <f>'Пр.6 Р.П. ЦС. ВР'!E269</f>
        <v>0</v>
      </c>
      <c r="F164" s="121">
        <f>'Пр.6 Р.П. ЦС. ВР'!F269</f>
        <v>0</v>
      </c>
      <c r="G164" s="366" t="e">
        <f t="shared" si="6"/>
        <v>#DIV/0!</v>
      </c>
    </row>
    <row r="165" spans="1:7" s="19" customFormat="1" ht="25.5">
      <c r="A165" s="15" t="s">
        <v>140</v>
      </c>
      <c r="B165" s="11" t="s">
        <v>12</v>
      </c>
      <c r="C165" s="11"/>
      <c r="D165" s="10"/>
      <c r="E165" s="123">
        <f aca="true" t="shared" si="7" ref="E165:F167">E166</f>
        <v>7093.100000000001</v>
      </c>
      <c r="F165" s="123">
        <f t="shared" si="7"/>
        <v>7093.100000000001</v>
      </c>
      <c r="G165" s="366">
        <f t="shared" si="6"/>
        <v>100</v>
      </c>
    </row>
    <row r="166" spans="1:7" s="16" customFormat="1" ht="45" customHeight="1">
      <c r="A166" s="21" t="s">
        <v>139</v>
      </c>
      <c r="B166" s="1" t="s">
        <v>22</v>
      </c>
      <c r="C166" s="11"/>
      <c r="D166" s="10"/>
      <c r="E166" s="121">
        <f t="shared" si="7"/>
        <v>7093.100000000001</v>
      </c>
      <c r="F166" s="121">
        <f t="shared" si="7"/>
        <v>7093.100000000001</v>
      </c>
      <c r="G166" s="366">
        <f t="shared" si="6"/>
        <v>100</v>
      </c>
    </row>
    <row r="167" spans="1:7" s="19" customFormat="1" ht="14.25" customHeight="1">
      <c r="A167" s="3" t="s">
        <v>312</v>
      </c>
      <c r="B167" s="1" t="s">
        <v>22</v>
      </c>
      <c r="C167" s="1" t="s">
        <v>313</v>
      </c>
      <c r="D167" s="18"/>
      <c r="E167" s="121">
        <f t="shared" si="7"/>
        <v>7093.100000000001</v>
      </c>
      <c r="F167" s="121">
        <f t="shared" si="7"/>
        <v>7093.100000000001</v>
      </c>
      <c r="G167" s="366">
        <f t="shared" si="6"/>
        <v>100</v>
      </c>
    </row>
    <row r="168" spans="1:7" s="19" customFormat="1" ht="12.75">
      <c r="A168" s="38" t="s">
        <v>18</v>
      </c>
      <c r="B168" s="1" t="s">
        <v>22</v>
      </c>
      <c r="C168" s="1" t="s">
        <v>313</v>
      </c>
      <c r="D168" s="18" t="s">
        <v>17</v>
      </c>
      <c r="E168" s="121">
        <f>'Пр.6 Р.П. ЦС. ВР'!E272</f>
        <v>7093.100000000001</v>
      </c>
      <c r="F168" s="121">
        <f>'Пр.6 Р.П. ЦС. ВР'!F272</f>
        <v>7093.100000000001</v>
      </c>
      <c r="G168" s="366">
        <f t="shared" si="6"/>
        <v>100</v>
      </c>
    </row>
    <row r="169" spans="1:7" s="19" customFormat="1" ht="25.5">
      <c r="A169" s="39" t="s">
        <v>141</v>
      </c>
      <c r="B169" s="11" t="s">
        <v>13</v>
      </c>
      <c r="C169" s="11"/>
      <c r="D169" s="10"/>
      <c r="E169" s="123">
        <f>E170</f>
        <v>2432</v>
      </c>
      <c r="F169" s="123">
        <f>F170</f>
        <v>2431.85</v>
      </c>
      <c r="G169" s="366">
        <f t="shared" si="6"/>
        <v>99.99383223684211</v>
      </c>
    </row>
    <row r="170" spans="1:7" s="19" customFormat="1" ht="38.25">
      <c r="A170" s="44" t="s">
        <v>142</v>
      </c>
      <c r="B170" s="1" t="s">
        <v>155</v>
      </c>
      <c r="C170" s="1"/>
      <c r="D170" s="18"/>
      <c r="E170" s="121">
        <f>E171+E173</f>
        <v>2432</v>
      </c>
      <c r="F170" s="121">
        <f>F171+F173</f>
        <v>2431.85</v>
      </c>
      <c r="G170" s="366">
        <f t="shared" si="6"/>
        <v>99.99383223684211</v>
      </c>
    </row>
    <row r="171" spans="1:7" s="16" customFormat="1" ht="12.75">
      <c r="A171" s="21" t="s">
        <v>302</v>
      </c>
      <c r="B171" s="1" t="s">
        <v>155</v>
      </c>
      <c r="C171" s="1" t="s">
        <v>316</v>
      </c>
      <c r="D171" s="18"/>
      <c r="E171" s="121">
        <f>E172</f>
        <v>1276</v>
      </c>
      <c r="F171" s="121">
        <f>F172</f>
        <v>1275.85</v>
      </c>
      <c r="G171" s="366">
        <f t="shared" si="6"/>
        <v>99.98824451410657</v>
      </c>
    </row>
    <row r="172" spans="1:7" s="16" customFormat="1" ht="12.75">
      <c r="A172" s="38" t="s">
        <v>18</v>
      </c>
      <c r="B172" s="1" t="s">
        <v>155</v>
      </c>
      <c r="C172" s="1" t="s">
        <v>316</v>
      </c>
      <c r="D172" s="18" t="s">
        <v>17</v>
      </c>
      <c r="E172" s="121">
        <f>'Пр.6 Р.П. ЦС. ВР'!E275</f>
        <v>1276</v>
      </c>
      <c r="F172" s="121">
        <f>'Пр.6 Р.П. ЦС. ВР'!F275</f>
        <v>1275.85</v>
      </c>
      <c r="G172" s="366">
        <f t="shared" si="6"/>
        <v>99.98824451410657</v>
      </c>
    </row>
    <row r="173" spans="1:7" s="19" customFormat="1" ht="14.25" customHeight="1">
      <c r="A173" s="3" t="s">
        <v>312</v>
      </c>
      <c r="B173" s="1" t="s">
        <v>155</v>
      </c>
      <c r="C173" s="1" t="s">
        <v>313</v>
      </c>
      <c r="D173" s="18"/>
      <c r="E173" s="121">
        <f>E174</f>
        <v>1156</v>
      </c>
      <c r="F173" s="121">
        <f>F174</f>
        <v>1156</v>
      </c>
      <c r="G173" s="366">
        <f t="shared" si="6"/>
        <v>100</v>
      </c>
    </row>
    <row r="174" spans="1:7" s="19" customFormat="1" ht="12.75">
      <c r="A174" s="38" t="s">
        <v>18</v>
      </c>
      <c r="B174" s="1" t="s">
        <v>155</v>
      </c>
      <c r="C174" s="1" t="s">
        <v>313</v>
      </c>
      <c r="D174" s="18" t="s">
        <v>17</v>
      </c>
      <c r="E174" s="121">
        <f>'Пр.6 Р.П. ЦС. ВР'!E276</f>
        <v>1156</v>
      </c>
      <c r="F174" s="121">
        <f>'Пр.6 Р.П. ЦС. ВР'!F276</f>
        <v>1156</v>
      </c>
      <c r="G174" s="366">
        <f t="shared" si="6"/>
        <v>100</v>
      </c>
    </row>
    <row r="175" spans="1:7" s="27" customFormat="1" ht="12.75" hidden="1">
      <c r="A175" s="13" t="s">
        <v>150</v>
      </c>
      <c r="B175" s="53" t="s">
        <v>4</v>
      </c>
      <c r="C175" s="53"/>
      <c r="D175" s="10"/>
      <c r="E175" s="123">
        <f aca="true" t="shared" si="8" ref="E175:F178">E176</f>
        <v>0</v>
      </c>
      <c r="F175" s="123">
        <f t="shared" si="8"/>
        <v>0</v>
      </c>
      <c r="G175" s="366" t="e">
        <f t="shared" si="6"/>
        <v>#DIV/0!</v>
      </c>
    </row>
    <row r="176" spans="1:7" s="27" customFormat="1" ht="25.5" hidden="1">
      <c r="A176" s="15" t="s">
        <v>151</v>
      </c>
      <c r="B176" s="53" t="s">
        <v>14</v>
      </c>
      <c r="C176" s="53"/>
      <c r="D176" s="10"/>
      <c r="E176" s="123">
        <f t="shared" si="8"/>
        <v>0</v>
      </c>
      <c r="F176" s="123">
        <f t="shared" si="8"/>
        <v>0</v>
      </c>
      <c r="G176" s="366" t="e">
        <f t="shared" si="6"/>
        <v>#DIV/0!</v>
      </c>
    </row>
    <row r="177" spans="1:7" s="27" customFormat="1" ht="38.25" hidden="1">
      <c r="A177" s="21" t="s">
        <v>300</v>
      </c>
      <c r="B177" s="26" t="s">
        <v>224</v>
      </c>
      <c r="C177" s="26"/>
      <c r="D177" s="18"/>
      <c r="E177" s="121">
        <f t="shared" si="8"/>
        <v>0</v>
      </c>
      <c r="F177" s="121">
        <f t="shared" si="8"/>
        <v>0</v>
      </c>
      <c r="G177" s="366" t="e">
        <f t="shared" si="6"/>
        <v>#DIV/0!</v>
      </c>
    </row>
    <row r="178" spans="1:7" s="27" customFormat="1" ht="12.75" hidden="1">
      <c r="A178" s="21" t="s">
        <v>302</v>
      </c>
      <c r="B178" s="26" t="s">
        <v>224</v>
      </c>
      <c r="C178" s="1" t="s">
        <v>316</v>
      </c>
      <c r="D178" s="18"/>
      <c r="E178" s="121">
        <f t="shared" si="8"/>
        <v>0</v>
      </c>
      <c r="F178" s="121">
        <f t="shared" si="8"/>
        <v>0</v>
      </c>
      <c r="G178" s="366" t="e">
        <f t="shared" si="6"/>
        <v>#DIV/0!</v>
      </c>
    </row>
    <row r="179" spans="1:7" s="27" customFormat="1" ht="12.75" hidden="1">
      <c r="A179" s="38" t="s">
        <v>20</v>
      </c>
      <c r="B179" s="26" t="s">
        <v>224</v>
      </c>
      <c r="C179" s="1" t="s">
        <v>316</v>
      </c>
      <c r="D179" s="18" t="s">
        <v>19</v>
      </c>
      <c r="E179" s="121">
        <f>'Пр.6 Р.П. ЦС. ВР'!E307</f>
        <v>0</v>
      </c>
      <c r="F179" s="121">
        <f>'Пр.6 Р.П. ЦС. ВР'!F307</f>
        <v>0</v>
      </c>
      <c r="G179" s="366" t="e">
        <f t="shared" si="6"/>
        <v>#DIV/0!</v>
      </c>
    </row>
    <row r="180" spans="1:7" s="96" customFormat="1" ht="12.75">
      <c r="A180" s="13" t="s">
        <v>147</v>
      </c>
      <c r="B180" s="53" t="s">
        <v>5</v>
      </c>
      <c r="C180" s="53"/>
      <c r="D180" s="10"/>
      <c r="E180" s="123">
        <f aca="true" t="shared" si="9" ref="E180:F183">E181</f>
        <v>766.206</v>
      </c>
      <c r="F180" s="123">
        <f t="shared" si="9"/>
        <v>766.206</v>
      </c>
      <c r="G180" s="366">
        <f t="shared" si="6"/>
        <v>100</v>
      </c>
    </row>
    <row r="181" spans="1:7" s="96" customFormat="1" ht="25.5">
      <c r="A181" s="15" t="s">
        <v>148</v>
      </c>
      <c r="B181" s="53" t="s">
        <v>15</v>
      </c>
      <c r="C181" s="53"/>
      <c r="D181" s="10"/>
      <c r="E181" s="123">
        <f t="shared" si="9"/>
        <v>766.206</v>
      </c>
      <c r="F181" s="123">
        <f t="shared" si="9"/>
        <v>766.206</v>
      </c>
      <c r="G181" s="366">
        <f t="shared" si="6"/>
        <v>100</v>
      </c>
    </row>
    <row r="182" spans="1:7" s="27" customFormat="1" ht="38.25">
      <c r="A182" s="3" t="s">
        <v>149</v>
      </c>
      <c r="B182" s="1" t="s">
        <v>146</v>
      </c>
      <c r="C182" s="26"/>
      <c r="D182" s="18"/>
      <c r="E182" s="121">
        <f t="shared" si="9"/>
        <v>766.206</v>
      </c>
      <c r="F182" s="121">
        <f t="shared" si="9"/>
        <v>766.206</v>
      </c>
      <c r="G182" s="366">
        <f t="shared" si="6"/>
        <v>100</v>
      </c>
    </row>
    <row r="183" spans="1:7" s="27" customFormat="1" ht="16.5" customHeight="1">
      <c r="A183" s="3" t="s">
        <v>314</v>
      </c>
      <c r="B183" s="1" t="s">
        <v>146</v>
      </c>
      <c r="C183" s="1" t="s">
        <v>315</v>
      </c>
      <c r="D183" s="18"/>
      <c r="E183" s="121">
        <f t="shared" si="9"/>
        <v>766.206</v>
      </c>
      <c r="F183" s="121">
        <f t="shared" si="9"/>
        <v>766.206</v>
      </c>
      <c r="G183" s="366">
        <f t="shared" si="6"/>
        <v>100</v>
      </c>
    </row>
    <row r="184" spans="1:10" s="27" customFormat="1" ht="12.75">
      <c r="A184" s="38" t="s">
        <v>35</v>
      </c>
      <c r="B184" s="1" t="s">
        <v>146</v>
      </c>
      <c r="C184" s="1" t="s">
        <v>315</v>
      </c>
      <c r="D184" s="18" t="s">
        <v>79</v>
      </c>
      <c r="E184" s="121">
        <f>'Пр.6 Р.П. ЦС. ВР'!E282</f>
        <v>766.206</v>
      </c>
      <c r="F184" s="121">
        <f>'Пр.6 Р.П. ЦС. ВР'!F282</f>
        <v>766.206</v>
      </c>
      <c r="G184" s="366">
        <f t="shared" si="6"/>
        <v>100</v>
      </c>
      <c r="I184" s="134">
        <f>E344-I198</f>
        <v>77958.34110000002</v>
      </c>
      <c r="J184" s="27" t="s">
        <v>322</v>
      </c>
    </row>
    <row r="185" spans="1:7" s="96" customFormat="1" ht="25.5" hidden="1">
      <c r="A185" s="13" t="s">
        <v>329</v>
      </c>
      <c r="B185" s="53" t="s">
        <v>328</v>
      </c>
      <c r="C185" s="53"/>
      <c r="D185" s="10"/>
      <c r="E185" s="123">
        <f aca="true" t="shared" si="10" ref="E185:F188">E186</f>
        <v>0</v>
      </c>
      <c r="F185" s="123">
        <f t="shared" si="10"/>
        <v>0</v>
      </c>
      <c r="G185" s="366" t="e">
        <f t="shared" si="6"/>
        <v>#DIV/0!</v>
      </c>
    </row>
    <row r="186" spans="1:7" s="96" customFormat="1" ht="38.25" hidden="1">
      <c r="A186" s="15" t="s">
        <v>337</v>
      </c>
      <c r="B186" s="53" t="s">
        <v>336</v>
      </c>
      <c r="C186" s="53"/>
      <c r="D186" s="10"/>
      <c r="E186" s="123">
        <f t="shared" si="10"/>
        <v>0</v>
      </c>
      <c r="F186" s="123">
        <f t="shared" si="10"/>
        <v>0</v>
      </c>
      <c r="G186" s="366" t="e">
        <f t="shared" si="6"/>
        <v>#DIV/0!</v>
      </c>
    </row>
    <row r="187" spans="1:7" s="27" customFormat="1" ht="12.75" hidden="1">
      <c r="A187" s="3" t="s">
        <v>331</v>
      </c>
      <c r="B187" s="1" t="s">
        <v>330</v>
      </c>
      <c r="C187" s="26"/>
      <c r="D187" s="18"/>
      <c r="E187" s="121">
        <f t="shared" si="10"/>
        <v>0</v>
      </c>
      <c r="F187" s="121">
        <f t="shared" si="10"/>
        <v>0</v>
      </c>
      <c r="G187" s="366" t="e">
        <f t="shared" si="6"/>
        <v>#DIV/0!</v>
      </c>
    </row>
    <row r="188" spans="1:7" s="27" customFormat="1" ht="16.5" customHeight="1" hidden="1">
      <c r="A188" s="21" t="s">
        <v>302</v>
      </c>
      <c r="B188" s="1" t="s">
        <v>330</v>
      </c>
      <c r="C188" s="1" t="s">
        <v>316</v>
      </c>
      <c r="D188" s="18"/>
      <c r="E188" s="121">
        <f t="shared" si="10"/>
        <v>0</v>
      </c>
      <c r="F188" s="121">
        <f t="shared" si="10"/>
        <v>0</v>
      </c>
      <c r="G188" s="366" t="e">
        <f t="shared" si="6"/>
        <v>#DIV/0!</v>
      </c>
    </row>
    <row r="189" spans="1:10" s="27" customFormat="1" ht="12.75" hidden="1">
      <c r="A189" s="38" t="s">
        <v>33</v>
      </c>
      <c r="B189" s="1" t="s">
        <v>330</v>
      </c>
      <c r="C189" s="1" t="s">
        <v>316</v>
      </c>
      <c r="D189" s="18" t="s">
        <v>32</v>
      </c>
      <c r="E189" s="121">
        <f>'Пр.6 Р.П. ЦС. ВР'!E140</f>
        <v>0</v>
      </c>
      <c r="F189" s="121">
        <f>'Пр.6 Р.П. ЦС. ВР'!F140</f>
        <v>0</v>
      </c>
      <c r="G189" s="366" t="e">
        <f t="shared" si="6"/>
        <v>#DIV/0!</v>
      </c>
      <c r="I189" s="134">
        <f>E349-I203</f>
        <v>0</v>
      </c>
      <c r="J189" s="27" t="s">
        <v>322</v>
      </c>
    </row>
    <row r="190" spans="1:7" s="96" customFormat="1" ht="24.75" customHeight="1">
      <c r="A190" s="39" t="s">
        <v>343</v>
      </c>
      <c r="B190" s="53" t="s">
        <v>340</v>
      </c>
      <c r="C190" s="53"/>
      <c r="D190" s="10"/>
      <c r="E190" s="123">
        <f>E191</f>
        <v>145.409</v>
      </c>
      <c r="F190" s="123">
        <f>F191</f>
        <v>145.409</v>
      </c>
      <c r="G190" s="366">
        <f t="shared" si="6"/>
        <v>100</v>
      </c>
    </row>
    <row r="191" spans="1:7" s="96" customFormat="1" ht="38.25">
      <c r="A191" s="144" t="s">
        <v>344</v>
      </c>
      <c r="B191" s="53" t="s">
        <v>341</v>
      </c>
      <c r="C191" s="53"/>
      <c r="D191" s="10"/>
      <c r="E191" s="123">
        <f>E192+E195</f>
        <v>145.409</v>
      </c>
      <c r="F191" s="123">
        <f>F192+F195</f>
        <v>145.409</v>
      </c>
      <c r="G191" s="366">
        <f t="shared" si="6"/>
        <v>100</v>
      </c>
    </row>
    <row r="192" spans="1:7" s="27" customFormat="1" ht="12.75">
      <c r="A192" s="34" t="s">
        <v>531</v>
      </c>
      <c r="B192" s="1" t="s">
        <v>342</v>
      </c>
      <c r="C192" s="26"/>
      <c r="D192" s="18"/>
      <c r="E192" s="121">
        <f>E193</f>
        <v>13.219</v>
      </c>
      <c r="F192" s="121">
        <f>F193</f>
        <v>13.219</v>
      </c>
      <c r="G192" s="366">
        <f t="shared" si="6"/>
        <v>100</v>
      </c>
    </row>
    <row r="193" spans="1:7" s="27" customFormat="1" ht="16.5" customHeight="1">
      <c r="A193" s="21" t="s">
        <v>302</v>
      </c>
      <c r="B193" s="1" t="s">
        <v>342</v>
      </c>
      <c r="C193" s="1" t="s">
        <v>316</v>
      </c>
      <c r="D193" s="18"/>
      <c r="E193" s="121">
        <f>E194</f>
        <v>13.219</v>
      </c>
      <c r="F193" s="121">
        <f>F194</f>
        <v>13.219</v>
      </c>
      <c r="G193" s="366">
        <f t="shared" si="6"/>
        <v>100</v>
      </c>
    </row>
    <row r="194" spans="1:10" s="27" customFormat="1" ht="15">
      <c r="A194" s="143" t="s">
        <v>100</v>
      </c>
      <c r="B194" s="1" t="s">
        <v>342</v>
      </c>
      <c r="C194" s="1" t="s">
        <v>316</v>
      </c>
      <c r="D194" s="18" t="s">
        <v>101</v>
      </c>
      <c r="E194" s="121">
        <f>'Пр.6 Р.П. ЦС. ВР'!E251</f>
        <v>13.219</v>
      </c>
      <c r="F194" s="121">
        <f>'Пр.6 Р.П. ЦС. ВР'!F251</f>
        <v>13.219</v>
      </c>
      <c r="G194" s="366">
        <f t="shared" si="6"/>
        <v>100</v>
      </c>
      <c r="I194" s="134">
        <f>E354-I208</f>
        <v>0</v>
      </c>
      <c r="J194" s="27" t="s">
        <v>322</v>
      </c>
    </row>
    <row r="195" spans="1:7" s="27" customFormat="1" ht="12.75">
      <c r="A195" s="34" t="s">
        <v>531</v>
      </c>
      <c r="B195" s="1" t="s">
        <v>511</v>
      </c>
      <c r="C195" s="26"/>
      <c r="D195" s="18"/>
      <c r="E195" s="121">
        <f>E196</f>
        <v>132.19</v>
      </c>
      <c r="F195" s="121">
        <f>F196</f>
        <v>132.19</v>
      </c>
      <c r="G195" s="366">
        <f t="shared" si="6"/>
        <v>100</v>
      </c>
    </row>
    <row r="196" spans="1:7" s="27" customFormat="1" ht="12.75">
      <c r="A196" s="21" t="s">
        <v>302</v>
      </c>
      <c r="B196" s="1" t="s">
        <v>511</v>
      </c>
      <c r="C196" s="26">
        <v>240</v>
      </c>
      <c r="D196" s="18"/>
      <c r="E196" s="121">
        <f>E197</f>
        <v>132.19</v>
      </c>
      <c r="F196" s="121">
        <f>F197</f>
        <v>132.19</v>
      </c>
      <c r="G196" s="366">
        <f t="shared" si="6"/>
        <v>100</v>
      </c>
    </row>
    <row r="197" spans="1:7" s="27" customFormat="1" ht="15">
      <c r="A197" s="143" t="s">
        <v>100</v>
      </c>
      <c r="B197" s="1" t="s">
        <v>511</v>
      </c>
      <c r="C197" s="26">
        <v>240</v>
      </c>
      <c r="D197" s="18" t="s">
        <v>101</v>
      </c>
      <c r="E197" s="121">
        <f>'Пр.6 Р.П. ЦС. ВР'!E252</f>
        <v>132.19</v>
      </c>
      <c r="F197" s="121">
        <f>'Пр.6 Р.П. ЦС. ВР'!F252</f>
        <v>132.19</v>
      </c>
      <c r="G197" s="366">
        <f t="shared" si="6"/>
        <v>100</v>
      </c>
    </row>
    <row r="198" spans="1:10" s="96" customFormat="1" ht="12.75">
      <c r="A198" s="13" t="s">
        <v>153</v>
      </c>
      <c r="B198" s="53" t="s">
        <v>52</v>
      </c>
      <c r="C198" s="53"/>
      <c r="D198" s="10"/>
      <c r="E198" s="123">
        <f>E199+E203</f>
        <v>11924.14017</v>
      </c>
      <c r="F198" s="123">
        <f>F199+F203</f>
        <v>11924.134610000001</v>
      </c>
      <c r="G198" s="366">
        <f t="shared" si="6"/>
        <v>99.99995337190003</v>
      </c>
      <c r="I198" s="133">
        <f>E198+E219</f>
        <v>55648.251840000004</v>
      </c>
      <c r="J198" s="96" t="s">
        <v>321</v>
      </c>
    </row>
    <row r="199" spans="1:9" s="96" customFormat="1" ht="25.5">
      <c r="A199" s="15" t="s">
        <v>51</v>
      </c>
      <c r="B199" s="53" t="s">
        <v>50</v>
      </c>
      <c r="C199" s="53"/>
      <c r="D199" s="10"/>
      <c r="E199" s="123">
        <f aca="true" t="shared" si="11" ref="E199:F201">E200</f>
        <v>1454.91338</v>
      </c>
      <c r="F199" s="123">
        <f t="shared" si="11"/>
        <v>1454.9099999999999</v>
      </c>
      <c r="G199" s="366">
        <f t="shared" si="6"/>
        <v>99.99976768376409</v>
      </c>
      <c r="I199" s="133">
        <f>I198+I184</f>
        <v>133606.59294000003</v>
      </c>
    </row>
    <row r="200" spans="1:9" s="96" customFormat="1" ht="29.25" customHeight="1">
      <c r="A200" s="24" t="s">
        <v>28</v>
      </c>
      <c r="B200" s="28" t="s">
        <v>49</v>
      </c>
      <c r="C200" s="53"/>
      <c r="D200" s="10"/>
      <c r="E200" s="123">
        <f t="shared" si="11"/>
        <v>1454.91338</v>
      </c>
      <c r="F200" s="123">
        <f t="shared" si="11"/>
        <v>1454.9099999999999</v>
      </c>
      <c r="G200" s="366">
        <f t="shared" si="6"/>
        <v>99.99976768376409</v>
      </c>
      <c r="I200" s="96">
        <f>I184/I199</f>
        <v>0.5834917228598854</v>
      </c>
    </row>
    <row r="201" spans="1:7" s="96" customFormat="1" ht="12.75">
      <c r="A201" s="31" t="s">
        <v>304</v>
      </c>
      <c r="B201" s="28" t="s">
        <v>49</v>
      </c>
      <c r="C201" s="26">
        <v>120</v>
      </c>
      <c r="D201" s="10"/>
      <c r="E201" s="121">
        <f t="shared" si="11"/>
        <v>1454.91338</v>
      </c>
      <c r="F201" s="121">
        <f t="shared" si="11"/>
        <v>1454.9099999999999</v>
      </c>
      <c r="G201" s="366">
        <f t="shared" si="6"/>
        <v>99.99976768376409</v>
      </c>
    </row>
    <row r="202" spans="1:7" s="27" customFormat="1" ht="25.5">
      <c r="A202" s="38" t="s">
        <v>37</v>
      </c>
      <c r="B202" s="28" t="s">
        <v>49</v>
      </c>
      <c r="C202" s="26">
        <v>120</v>
      </c>
      <c r="D202" s="18" t="s">
        <v>36</v>
      </c>
      <c r="E202" s="121">
        <f>'Пр.6 Р.П. ЦС. ВР'!E29</f>
        <v>1454.91338</v>
      </c>
      <c r="F202" s="121">
        <f>'Пр.6 Р.П. ЦС. ВР'!F29</f>
        <v>1454.9099999999999</v>
      </c>
      <c r="G202" s="366">
        <f t="shared" si="6"/>
        <v>99.99976768376409</v>
      </c>
    </row>
    <row r="203" spans="1:7" s="96" customFormat="1" ht="12.75">
      <c r="A203" s="15" t="s">
        <v>48</v>
      </c>
      <c r="B203" s="53" t="s">
        <v>47</v>
      </c>
      <c r="C203" s="53"/>
      <c r="D203" s="10"/>
      <c r="E203" s="123">
        <f>E204+E207+E216</f>
        <v>10469.22679</v>
      </c>
      <c r="F203" s="123">
        <f>F204+F207+F216</f>
        <v>10469.224610000001</v>
      </c>
      <c r="G203" s="366">
        <f t="shared" si="6"/>
        <v>99.99997917706777</v>
      </c>
    </row>
    <row r="204" spans="1:7" ht="25.5">
      <c r="A204" s="24" t="s">
        <v>29</v>
      </c>
      <c r="B204" s="28" t="s">
        <v>43</v>
      </c>
      <c r="C204" s="28"/>
      <c r="D204" s="28"/>
      <c r="E204" s="125">
        <f>E205</f>
        <v>7011.70649</v>
      </c>
      <c r="F204" s="125">
        <f>F205</f>
        <v>7011.71</v>
      </c>
      <c r="G204" s="366">
        <f t="shared" si="6"/>
        <v>100.00005005914045</v>
      </c>
    </row>
    <row r="205" spans="1:7" ht="12.75">
      <c r="A205" s="31" t="s">
        <v>304</v>
      </c>
      <c r="B205" s="28" t="s">
        <v>43</v>
      </c>
      <c r="C205" s="28">
        <v>120</v>
      </c>
      <c r="D205" s="28"/>
      <c r="E205" s="125">
        <f>E206</f>
        <v>7011.70649</v>
      </c>
      <c r="F205" s="125">
        <f>F206</f>
        <v>7011.71</v>
      </c>
      <c r="G205" s="366">
        <f aca="true" t="shared" si="12" ref="G205:G268">F205/E205*100</f>
        <v>100.00005005914045</v>
      </c>
    </row>
    <row r="206" spans="1:7" ht="25.5">
      <c r="A206" s="38" t="s">
        <v>37</v>
      </c>
      <c r="B206" s="28" t="s">
        <v>43</v>
      </c>
      <c r="C206" s="28">
        <v>120</v>
      </c>
      <c r="D206" s="18" t="s">
        <v>36</v>
      </c>
      <c r="E206" s="125">
        <f>'Пр.6 Р.П. ЦС. ВР'!E32</f>
        <v>7011.70649</v>
      </c>
      <c r="F206" s="125">
        <f>'Пр.6 Р.П. ЦС. ВР'!F32</f>
        <v>7011.71</v>
      </c>
      <c r="G206" s="366">
        <f t="shared" si="12"/>
        <v>100.00005005914045</v>
      </c>
    </row>
    <row r="207" spans="1:7" s="27" customFormat="1" ht="25.5">
      <c r="A207" s="31" t="s">
        <v>30</v>
      </c>
      <c r="B207" s="28" t="s">
        <v>40</v>
      </c>
      <c r="C207" s="26"/>
      <c r="D207" s="18"/>
      <c r="E207" s="121">
        <f>E208+E211+E214+E210</f>
        <v>3407.0203</v>
      </c>
      <c r="F207" s="121">
        <f>F208+F211+F214+F210</f>
        <v>3407.01461</v>
      </c>
      <c r="G207" s="366">
        <f t="shared" si="12"/>
        <v>99.99983299189617</v>
      </c>
    </row>
    <row r="208" spans="1:7" s="27" customFormat="1" ht="12.75" hidden="1">
      <c r="A208" s="31" t="s">
        <v>41</v>
      </c>
      <c r="B208" s="28" t="s">
        <v>40</v>
      </c>
      <c r="C208" s="97">
        <v>122</v>
      </c>
      <c r="D208" s="18"/>
      <c r="E208" s="121">
        <f>E209</f>
        <v>0</v>
      </c>
      <c r="F208" s="121">
        <f>F209</f>
        <v>0</v>
      </c>
      <c r="G208" s="366" t="e">
        <f t="shared" si="12"/>
        <v>#DIV/0!</v>
      </c>
    </row>
    <row r="209" spans="1:7" s="27" customFormat="1" ht="25.5" hidden="1">
      <c r="A209" s="38" t="s">
        <v>37</v>
      </c>
      <c r="B209" s="28" t="s">
        <v>40</v>
      </c>
      <c r="C209" s="97">
        <v>122</v>
      </c>
      <c r="D209" s="18" t="s">
        <v>36</v>
      </c>
      <c r="E209" s="121">
        <f>'Пр.6 Р.П. ЦС. ВР'!E34</f>
        <v>0</v>
      </c>
      <c r="F209" s="121">
        <f>'Пр.6 Р.П. ЦС. ВР'!F34</f>
        <v>0</v>
      </c>
      <c r="G209" s="366" t="e">
        <f t="shared" si="12"/>
        <v>#DIV/0!</v>
      </c>
    </row>
    <row r="210" spans="1:7" ht="12.75">
      <c r="A210" s="21" t="s">
        <v>304</v>
      </c>
      <c r="B210" s="28" t="s">
        <v>40</v>
      </c>
      <c r="C210" s="1" t="s">
        <v>305</v>
      </c>
      <c r="D210" s="18"/>
      <c r="E210" s="121">
        <f>'Пр.6 Р.П. ЦС. ВР'!E36</f>
        <v>2.8</v>
      </c>
      <c r="F210" s="121">
        <f>'Пр.6 Р.П. ЦС. ВР'!F36</f>
        <v>2.8</v>
      </c>
      <c r="G210" s="366">
        <f t="shared" si="12"/>
        <v>100</v>
      </c>
    </row>
    <row r="211" spans="1:7" ht="12.75">
      <c r="A211" s="21" t="s">
        <v>302</v>
      </c>
      <c r="B211" s="28" t="s">
        <v>40</v>
      </c>
      <c r="C211" s="1" t="s">
        <v>316</v>
      </c>
      <c r="D211" s="18"/>
      <c r="E211" s="121">
        <f>E212+E213</f>
        <v>3390.48962</v>
      </c>
      <c r="F211" s="121">
        <f>F212+F213</f>
        <v>3390.48393</v>
      </c>
      <c r="G211" s="366">
        <f t="shared" si="12"/>
        <v>99.99983217763103</v>
      </c>
    </row>
    <row r="212" spans="1:7" ht="25.5">
      <c r="A212" s="31" t="s">
        <v>46</v>
      </c>
      <c r="B212" s="28" t="s">
        <v>40</v>
      </c>
      <c r="C212" s="1" t="s">
        <v>316</v>
      </c>
      <c r="D212" s="18" t="s">
        <v>45</v>
      </c>
      <c r="E212" s="121">
        <f>'Пр.6 Р.П. ЦС. ВР'!E16</f>
        <v>78.73393</v>
      </c>
      <c r="F212" s="121">
        <f>'Пр.6 Р.П. ЦС. ВР'!F16</f>
        <v>78.73393</v>
      </c>
      <c r="G212" s="366">
        <f t="shared" si="12"/>
        <v>100</v>
      </c>
    </row>
    <row r="213" spans="1:7" ht="25.5">
      <c r="A213" s="38" t="s">
        <v>37</v>
      </c>
      <c r="B213" s="28" t="s">
        <v>40</v>
      </c>
      <c r="C213" s="1" t="s">
        <v>316</v>
      </c>
      <c r="D213" s="18" t="s">
        <v>36</v>
      </c>
      <c r="E213" s="121">
        <f>'Пр.6 Р.П. ЦС. ВР'!E37</f>
        <v>3311.75569</v>
      </c>
      <c r="F213" s="121">
        <f>'Пр.6 Р.П. ЦС. ВР'!F37</f>
        <v>3311.75</v>
      </c>
      <c r="G213" s="366">
        <f t="shared" si="12"/>
        <v>99.99982818780934</v>
      </c>
    </row>
    <row r="214" spans="1:7" ht="17.25" customHeight="1">
      <c r="A214" s="3" t="s">
        <v>23</v>
      </c>
      <c r="B214" s="28" t="s">
        <v>40</v>
      </c>
      <c r="C214" s="1" t="s">
        <v>311</v>
      </c>
      <c r="D214" s="18"/>
      <c r="E214" s="121">
        <f>E215</f>
        <v>13.73068</v>
      </c>
      <c r="F214" s="121">
        <f>F215</f>
        <v>13.73068</v>
      </c>
      <c r="G214" s="366">
        <f t="shared" si="12"/>
        <v>100</v>
      </c>
    </row>
    <row r="215" spans="1:7" ht="25.5">
      <c r="A215" s="38" t="s">
        <v>37</v>
      </c>
      <c r="B215" s="28" t="s">
        <v>40</v>
      </c>
      <c r="C215" s="1" t="s">
        <v>311</v>
      </c>
      <c r="D215" s="18" t="s">
        <v>36</v>
      </c>
      <c r="E215" s="121">
        <f>'Пр.6 Р.П. ЦС. ВР'!E38</f>
        <v>13.73068</v>
      </c>
      <c r="F215" s="121">
        <f>'Пр.6 Р.П. ЦС. ВР'!F38</f>
        <v>13.73068</v>
      </c>
      <c r="G215" s="366">
        <f t="shared" si="12"/>
        <v>100</v>
      </c>
    </row>
    <row r="216" spans="1:7" ht="25.5">
      <c r="A216" s="24" t="s">
        <v>326</v>
      </c>
      <c r="B216" s="28" t="s">
        <v>323</v>
      </c>
      <c r="C216" s="28"/>
      <c r="D216" s="28"/>
      <c r="E216" s="125">
        <f>E217</f>
        <v>50.5</v>
      </c>
      <c r="F216" s="125">
        <f>F217</f>
        <v>50.5</v>
      </c>
      <c r="G216" s="366">
        <f t="shared" si="12"/>
        <v>100</v>
      </c>
    </row>
    <row r="217" spans="1:7" ht="12.75">
      <c r="A217" s="31" t="s">
        <v>304</v>
      </c>
      <c r="B217" s="28" t="s">
        <v>323</v>
      </c>
      <c r="C217" s="28">
        <v>540</v>
      </c>
      <c r="D217" s="28"/>
      <c r="E217" s="125">
        <f>E218</f>
        <v>50.5</v>
      </c>
      <c r="F217" s="125">
        <f>F218</f>
        <v>50.5</v>
      </c>
      <c r="G217" s="366">
        <f t="shared" si="12"/>
        <v>100</v>
      </c>
    </row>
    <row r="218" spans="1:7" ht="25.5">
      <c r="A218" s="38" t="s">
        <v>335</v>
      </c>
      <c r="B218" s="28" t="s">
        <v>323</v>
      </c>
      <c r="C218" s="28">
        <v>540</v>
      </c>
      <c r="D218" s="18" t="s">
        <v>324</v>
      </c>
      <c r="E218" s="125">
        <f>'Пр.6 Р.П. ЦС. ВР'!E48</f>
        <v>50.5</v>
      </c>
      <c r="F218" s="125">
        <f>'Пр.6 Р.П. ЦС. ВР'!F48</f>
        <v>50.5</v>
      </c>
      <c r="G218" s="366">
        <f t="shared" si="12"/>
        <v>100</v>
      </c>
    </row>
    <row r="219" spans="1:7" s="52" customFormat="1" ht="12.75">
      <c r="A219" s="13" t="s">
        <v>111</v>
      </c>
      <c r="B219" s="11" t="s">
        <v>0</v>
      </c>
      <c r="C219" s="11"/>
      <c r="D219" s="10"/>
      <c r="E219" s="123">
        <f>E220+E224+E294</f>
        <v>43724.111670000006</v>
      </c>
      <c r="F219" s="123">
        <f>F220+F224+F294</f>
        <v>38522.8295</v>
      </c>
      <c r="G219" s="366">
        <f t="shared" si="12"/>
        <v>88.10431596814188</v>
      </c>
    </row>
    <row r="220" spans="1:7" s="52" customFormat="1" ht="12.75" hidden="1">
      <c r="A220" s="13" t="s">
        <v>153</v>
      </c>
      <c r="B220" s="11" t="s">
        <v>134</v>
      </c>
      <c r="C220" s="11"/>
      <c r="D220" s="10"/>
      <c r="E220" s="123">
        <f aca="true" t="shared" si="13" ref="E220:F222">E221</f>
        <v>0</v>
      </c>
      <c r="F220" s="123">
        <f t="shared" si="13"/>
        <v>0</v>
      </c>
      <c r="G220" s="366" t="e">
        <f t="shared" si="12"/>
        <v>#DIV/0!</v>
      </c>
    </row>
    <row r="221" spans="1:7" ht="25.5" hidden="1">
      <c r="A221" s="31" t="s">
        <v>30</v>
      </c>
      <c r="B221" s="28" t="s">
        <v>152</v>
      </c>
      <c r="C221" s="1"/>
      <c r="D221" s="18"/>
      <c r="E221" s="121">
        <f t="shared" si="13"/>
        <v>0</v>
      </c>
      <c r="F221" s="121">
        <f t="shared" si="13"/>
        <v>0</v>
      </c>
      <c r="G221" s="366" t="e">
        <f t="shared" si="12"/>
        <v>#DIV/0!</v>
      </c>
    </row>
    <row r="222" spans="1:7" ht="12.75" hidden="1">
      <c r="A222" s="31" t="s">
        <v>38</v>
      </c>
      <c r="B222" s="28" t="s">
        <v>152</v>
      </c>
      <c r="C222" s="1" t="s">
        <v>61</v>
      </c>
      <c r="D222" s="18"/>
      <c r="E222" s="121">
        <f t="shared" si="13"/>
        <v>0</v>
      </c>
      <c r="F222" s="121">
        <f t="shared" si="13"/>
        <v>0</v>
      </c>
      <c r="G222" s="366" t="e">
        <f t="shared" si="12"/>
        <v>#DIV/0!</v>
      </c>
    </row>
    <row r="223" spans="1:7" ht="12.75" hidden="1">
      <c r="A223" s="106" t="s">
        <v>122</v>
      </c>
      <c r="B223" s="28" t="s">
        <v>152</v>
      </c>
      <c r="C223" s="26">
        <v>244</v>
      </c>
      <c r="D223" s="18" t="s">
        <v>126</v>
      </c>
      <c r="E223" s="121">
        <f>'Пр.6 Р.П. ЦС. ВР'!E43</f>
        <v>0</v>
      </c>
      <c r="F223" s="121">
        <f>'Пр.6 Р.П. ЦС. ВР'!F43</f>
        <v>0</v>
      </c>
      <c r="G223" s="366" t="e">
        <f t="shared" si="12"/>
        <v>#DIV/0!</v>
      </c>
    </row>
    <row r="224" spans="1:7" ht="12.75">
      <c r="A224" s="15" t="s">
        <v>78</v>
      </c>
      <c r="B224" s="32" t="s">
        <v>74</v>
      </c>
      <c r="C224" s="53"/>
      <c r="D224" s="10"/>
      <c r="E224" s="123">
        <f>E225+E239+E242+E245+E248+E251+E254+E263+E267+E270+E273+E276+E279+E285+E288+E291+E300+E303+E257+E297+E236+E334+E340+E337+E320+E328+E317+E260</f>
        <v>43424.111670000006</v>
      </c>
      <c r="F224" s="123">
        <f>F225+F239+F242+F245+F248+F251+F254+F263+F267+F270+F273+F276+F279+F285+F288+F291+F300+F303+F257+F297+F236+F334+F340+F337+F320+F328+F317+F260</f>
        <v>38254.5195</v>
      </c>
      <c r="G224" s="366">
        <f t="shared" si="12"/>
        <v>88.0951112845183</v>
      </c>
    </row>
    <row r="225" spans="1:7" ht="25.5">
      <c r="A225" s="38" t="s">
        <v>114</v>
      </c>
      <c r="B225" s="28" t="s">
        <v>75</v>
      </c>
      <c r="C225" s="26"/>
      <c r="D225" s="18"/>
      <c r="E225" s="121">
        <f>E226+E230+E233+E229</f>
        <v>10307.25</v>
      </c>
      <c r="F225" s="121">
        <f>F226+F230+F233+F229</f>
        <v>10301.36</v>
      </c>
      <c r="G225" s="366">
        <f t="shared" si="12"/>
        <v>99.94285575687017</v>
      </c>
    </row>
    <row r="226" spans="1:7" ht="13.5" customHeight="1">
      <c r="A226" s="130" t="s">
        <v>306</v>
      </c>
      <c r="B226" s="28" t="s">
        <v>75</v>
      </c>
      <c r="C226" s="26">
        <v>110</v>
      </c>
      <c r="D226" s="18"/>
      <c r="E226" s="121">
        <f>E227+E228</f>
        <v>8710.15</v>
      </c>
      <c r="F226" s="121">
        <f>F227+F228</f>
        <v>8710</v>
      </c>
      <c r="G226" s="366">
        <f t="shared" si="12"/>
        <v>99.99827787121922</v>
      </c>
    </row>
    <row r="227" spans="1:7" ht="12.75">
      <c r="A227" s="107" t="s">
        <v>44</v>
      </c>
      <c r="B227" s="28" t="s">
        <v>75</v>
      </c>
      <c r="C227" s="26">
        <v>110</v>
      </c>
      <c r="D227" s="18" t="s">
        <v>42</v>
      </c>
      <c r="E227" s="121">
        <f>'Пр.6 Р.П. ЦС. ВР'!E58</f>
        <v>7109.749999999999</v>
      </c>
      <c r="F227" s="121">
        <f>'Пр.6 Р.П. ЦС. ВР'!F58</f>
        <v>7109.6900000000005</v>
      </c>
      <c r="G227" s="366">
        <f t="shared" si="12"/>
        <v>99.99915608847007</v>
      </c>
    </row>
    <row r="228" spans="1:7" ht="12.75">
      <c r="A228" s="107" t="s">
        <v>100</v>
      </c>
      <c r="B228" s="28" t="s">
        <v>75</v>
      </c>
      <c r="C228" s="26">
        <v>110</v>
      </c>
      <c r="D228" s="18" t="s">
        <v>101</v>
      </c>
      <c r="E228" s="121">
        <f>'Пр.6 Р.П. ЦС. ВР'!E211</f>
        <v>1600.4</v>
      </c>
      <c r="F228" s="121">
        <f>'Пр.6 Р.П. ЦС. ВР'!F211</f>
        <v>1600.31</v>
      </c>
      <c r="G228" s="366">
        <f t="shared" si="12"/>
        <v>99.9943764058985</v>
      </c>
    </row>
    <row r="229" spans="1:7" ht="12.75" hidden="1">
      <c r="A229" s="24" t="s">
        <v>115</v>
      </c>
      <c r="B229" s="28" t="s">
        <v>75</v>
      </c>
      <c r="C229" s="97">
        <v>112</v>
      </c>
      <c r="D229" s="18"/>
      <c r="E229" s="121">
        <f>'Пр.6 Р.П. ЦС. ВР'!E59</f>
        <v>0</v>
      </c>
      <c r="F229" s="121">
        <f>'Пр.6 Р.П. ЦС. ВР'!F59</f>
        <v>0</v>
      </c>
      <c r="G229" s="366" t="e">
        <f t="shared" si="12"/>
        <v>#DIV/0!</v>
      </c>
    </row>
    <row r="230" spans="1:7" ht="12.75">
      <c r="A230" s="21" t="s">
        <v>302</v>
      </c>
      <c r="B230" s="28" t="s">
        <v>75</v>
      </c>
      <c r="C230" s="1" t="s">
        <v>316</v>
      </c>
      <c r="D230" s="18"/>
      <c r="E230" s="121">
        <f>E231+E232</f>
        <v>1559.1</v>
      </c>
      <c r="F230" s="121">
        <f>F231+F232</f>
        <v>1553.61</v>
      </c>
      <c r="G230" s="366">
        <f t="shared" si="12"/>
        <v>99.64787377333076</v>
      </c>
    </row>
    <row r="231" spans="1:7" ht="12.75">
      <c r="A231" s="107" t="s">
        <v>44</v>
      </c>
      <c r="B231" s="28" t="s">
        <v>75</v>
      </c>
      <c r="C231" s="1" t="s">
        <v>316</v>
      </c>
      <c r="D231" s="18" t="s">
        <v>42</v>
      </c>
      <c r="E231" s="121">
        <f>'Пр.6 Р.П. ЦС. ВР'!E60</f>
        <v>1498.1</v>
      </c>
      <c r="F231" s="121">
        <f>'Пр.6 Р.П. ЦС. ВР'!F60</f>
        <v>1492.6799999999998</v>
      </c>
      <c r="G231" s="366">
        <f t="shared" si="12"/>
        <v>99.63820839730325</v>
      </c>
    </row>
    <row r="232" spans="1:7" ht="12.75">
      <c r="A232" s="108" t="s">
        <v>100</v>
      </c>
      <c r="B232" s="28" t="s">
        <v>75</v>
      </c>
      <c r="C232" s="1" t="s">
        <v>316</v>
      </c>
      <c r="D232" s="18" t="s">
        <v>101</v>
      </c>
      <c r="E232" s="121">
        <f>'Пр.6 Р.П. ЦС. ВР'!E213</f>
        <v>61</v>
      </c>
      <c r="F232" s="121">
        <f>'Пр.6 Р.П. ЦС. ВР'!F213</f>
        <v>60.93</v>
      </c>
      <c r="G232" s="366">
        <f t="shared" si="12"/>
        <v>99.88524590163934</v>
      </c>
    </row>
    <row r="233" spans="1:7" ht="18" customHeight="1">
      <c r="A233" s="3" t="s">
        <v>307</v>
      </c>
      <c r="B233" s="28" t="s">
        <v>75</v>
      </c>
      <c r="C233" s="1" t="s">
        <v>311</v>
      </c>
      <c r="D233" s="18"/>
      <c r="E233" s="121">
        <f>E234+E235</f>
        <v>38</v>
      </c>
      <c r="F233" s="121">
        <f>F234+F235</f>
        <v>37.75</v>
      </c>
      <c r="G233" s="366">
        <f t="shared" si="12"/>
        <v>99.3421052631579</v>
      </c>
    </row>
    <row r="234" spans="1:7" s="16" customFormat="1" ht="12.75">
      <c r="A234" s="107" t="s">
        <v>44</v>
      </c>
      <c r="B234" s="28" t="s">
        <v>75</v>
      </c>
      <c r="C234" s="1" t="s">
        <v>311</v>
      </c>
      <c r="D234" s="18" t="s">
        <v>42</v>
      </c>
      <c r="E234" s="121">
        <f>'Пр.6 Р.П. ЦС. ВР'!E61</f>
        <v>23</v>
      </c>
      <c r="F234" s="121">
        <f>'Пр.6 Р.П. ЦС. ВР'!F61</f>
        <v>22.82</v>
      </c>
      <c r="G234" s="366">
        <f t="shared" si="12"/>
        <v>99.21739130434783</v>
      </c>
    </row>
    <row r="235" spans="1:7" ht="12.75">
      <c r="A235" s="107" t="s">
        <v>100</v>
      </c>
      <c r="B235" s="28" t="s">
        <v>75</v>
      </c>
      <c r="C235" s="1" t="s">
        <v>311</v>
      </c>
      <c r="D235" s="18" t="s">
        <v>101</v>
      </c>
      <c r="E235" s="121">
        <f>'Пр.6 Р.П. ЦС. ВР'!E214</f>
        <v>15</v>
      </c>
      <c r="F235" s="121">
        <f>'Пр.6 Р.П. ЦС. ВР'!F214</f>
        <v>14.93</v>
      </c>
      <c r="G235" s="366">
        <f t="shared" si="12"/>
        <v>99.53333333333333</v>
      </c>
    </row>
    <row r="236" spans="1:7" s="27" customFormat="1" ht="25.5" hidden="1">
      <c r="A236" s="142" t="s">
        <v>353</v>
      </c>
      <c r="B236" s="35" t="s">
        <v>345</v>
      </c>
      <c r="C236" s="1"/>
      <c r="D236" s="18"/>
      <c r="E236" s="121">
        <f>E237</f>
        <v>0</v>
      </c>
      <c r="F236" s="121">
        <f>F237</f>
        <v>0</v>
      </c>
      <c r="G236" s="366" t="e">
        <f t="shared" si="12"/>
        <v>#DIV/0!</v>
      </c>
    </row>
    <row r="237" spans="1:7" s="27" customFormat="1" ht="12.75" hidden="1">
      <c r="A237" s="141" t="s">
        <v>352</v>
      </c>
      <c r="B237" s="35" t="s">
        <v>345</v>
      </c>
      <c r="C237" s="1" t="s">
        <v>313</v>
      </c>
      <c r="D237" s="18"/>
      <c r="E237" s="121">
        <f>E238</f>
        <v>0</v>
      </c>
      <c r="F237" s="121">
        <f>F238</f>
        <v>0</v>
      </c>
      <c r="G237" s="366" t="e">
        <f t="shared" si="12"/>
        <v>#DIV/0!</v>
      </c>
    </row>
    <row r="238" spans="1:7" s="27" customFormat="1" ht="12.75" hidden="1">
      <c r="A238" s="107" t="s">
        <v>100</v>
      </c>
      <c r="B238" s="35" t="s">
        <v>345</v>
      </c>
      <c r="C238" s="1" t="s">
        <v>313</v>
      </c>
      <c r="D238" s="18" t="s">
        <v>101</v>
      </c>
      <c r="E238" s="121">
        <f>'Пр.6 Р.П. ЦС. ВР'!E216</f>
        <v>0</v>
      </c>
      <c r="F238" s="121">
        <f>'Пр.6 Р.П. ЦС. ВР'!F216</f>
        <v>0</v>
      </c>
      <c r="G238" s="366" t="e">
        <f t="shared" si="12"/>
        <v>#DIV/0!</v>
      </c>
    </row>
    <row r="239" spans="1:7" ht="12.75">
      <c r="A239" s="34" t="s">
        <v>196</v>
      </c>
      <c r="B239" s="35" t="s">
        <v>135</v>
      </c>
      <c r="C239" s="1"/>
      <c r="D239" s="18"/>
      <c r="E239" s="121">
        <f>E240</f>
        <v>655.2825</v>
      </c>
      <c r="F239" s="121">
        <f>F240</f>
        <v>655.2825</v>
      </c>
      <c r="G239" s="366">
        <f t="shared" si="12"/>
        <v>100</v>
      </c>
    </row>
    <row r="240" spans="1:7" ht="25.5">
      <c r="A240" s="21" t="s">
        <v>34</v>
      </c>
      <c r="B240" s="35" t="s">
        <v>135</v>
      </c>
      <c r="C240" s="1" t="s">
        <v>31</v>
      </c>
      <c r="D240" s="18"/>
      <c r="E240" s="121">
        <f>E241</f>
        <v>655.2825</v>
      </c>
      <c r="F240" s="121">
        <f>F241</f>
        <v>655.2825</v>
      </c>
      <c r="G240" s="366">
        <f t="shared" si="12"/>
        <v>100</v>
      </c>
    </row>
    <row r="241" spans="1:7" s="27" customFormat="1" ht="12.75">
      <c r="A241" s="109" t="s">
        <v>66</v>
      </c>
      <c r="B241" s="35" t="s">
        <v>135</v>
      </c>
      <c r="C241" s="1" t="s">
        <v>31</v>
      </c>
      <c r="D241" s="18" t="s">
        <v>65</v>
      </c>
      <c r="E241" s="121">
        <f>'Пр.6 Р.П. ЦС. ВР'!E177</f>
        <v>655.2825</v>
      </c>
      <c r="F241" s="121">
        <f>'Пр.6 Р.П. ЦС. ВР'!F177</f>
        <v>655.2825</v>
      </c>
      <c r="G241" s="366">
        <f t="shared" si="12"/>
        <v>100</v>
      </c>
    </row>
    <row r="242" spans="1:7" ht="38.25">
      <c r="A242" s="50" t="s">
        <v>136</v>
      </c>
      <c r="B242" s="35" t="s">
        <v>156</v>
      </c>
      <c r="C242" s="1"/>
      <c r="D242" s="18"/>
      <c r="E242" s="121">
        <f>E243</f>
        <v>418</v>
      </c>
      <c r="F242" s="121">
        <f>F243</f>
        <v>418</v>
      </c>
      <c r="G242" s="366">
        <f t="shared" si="12"/>
        <v>100</v>
      </c>
    </row>
    <row r="243" spans="1:7" ht="25.5">
      <c r="A243" s="21" t="s">
        <v>34</v>
      </c>
      <c r="B243" s="35" t="s">
        <v>156</v>
      </c>
      <c r="C243" s="1" t="s">
        <v>31</v>
      </c>
      <c r="D243" s="18"/>
      <c r="E243" s="121">
        <f>E244</f>
        <v>418</v>
      </c>
      <c r="F243" s="121">
        <f>F244</f>
        <v>418</v>
      </c>
      <c r="G243" s="366">
        <f t="shared" si="12"/>
        <v>100</v>
      </c>
    </row>
    <row r="244" spans="1:7" ht="12.75">
      <c r="A244" s="110" t="s">
        <v>73</v>
      </c>
      <c r="B244" s="35" t="s">
        <v>156</v>
      </c>
      <c r="C244" s="1" t="s">
        <v>31</v>
      </c>
      <c r="D244" s="18" t="s">
        <v>72</v>
      </c>
      <c r="E244" s="121">
        <f>'Пр.6 Р.П. ЦС. ВР'!E321</f>
        <v>418</v>
      </c>
      <c r="F244" s="121">
        <f>'Пр.6 Р.П. ЦС. ВР'!F321</f>
        <v>418</v>
      </c>
      <c r="G244" s="366">
        <f t="shared" si="12"/>
        <v>100</v>
      </c>
    </row>
    <row r="245" spans="1:7" ht="25.5">
      <c r="A245" s="24" t="s">
        <v>116</v>
      </c>
      <c r="B245" s="30" t="s">
        <v>157</v>
      </c>
      <c r="C245" s="1"/>
      <c r="D245" s="18"/>
      <c r="E245" s="121">
        <f>E246</f>
        <v>414</v>
      </c>
      <c r="F245" s="121">
        <f>F246</f>
        <v>385.61</v>
      </c>
      <c r="G245" s="366">
        <f t="shared" si="12"/>
        <v>93.1425120772947</v>
      </c>
    </row>
    <row r="246" spans="1:7" ht="12.75">
      <c r="A246" s="21" t="s">
        <v>302</v>
      </c>
      <c r="B246" s="30" t="s">
        <v>157</v>
      </c>
      <c r="C246" s="1" t="s">
        <v>316</v>
      </c>
      <c r="D246" s="18"/>
      <c r="E246" s="121">
        <f>E247</f>
        <v>414</v>
      </c>
      <c r="F246" s="121">
        <f>F247</f>
        <v>385.61</v>
      </c>
      <c r="G246" s="366">
        <f t="shared" si="12"/>
        <v>93.1425120772947</v>
      </c>
    </row>
    <row r="247" spans="1:7" ht="12.75">
      <c r="A247" s="107" t="s">
        <v>44</v>
      </c>
      <c r="B247" s="30" t="s">
        <v>157</v>
      </c>
      <c r="C247" s="1" t="s">
        <v>316</v>
      </c>
      <c r="D247" s="18" t="s">
        <v>42</v>
      </c>
      <c r="E247" s="121">
        <f>'Пр.6 Р.П. ЦС. ВР'!E63</f>
        <v>414</v>
      </c>
      <c r="F247" s="121">
        <f>'Пр.6 Р.П. ЦС. ВР'!F63</f>
        <v>385.61</v>
      </c>
      <c r="G247" s="366">
        <f t="shared" si="12"/>
        <v>93.1425120772947</v>
      </c>
    </row>
    <row r="248" spans="1:7" ht="12.75">
      <c r="A248" s="24" t="s">
        <v>117</v>
      </c>
      <c r="B248" s="30" t="s">
        <v>158</v>
      </c>
      <c r="C248" s="1"/>
      <c r="D248" s="18"/>
      <c r="E248" s="121">
        <f>E249</f>
        <v>960</v>
      </c>
      <c r="F248" s="121">
        <f>F249</f>
        <v>782.22</v>
      </c>
      <c r="G248" s="366">
        <f t="shared" si="12"/>
        <v>81.48125</v>
      </c>
    </row>
    <row r="249" spans="1:7" ht="12.75">
      <c r="A249" s="21" t="s">
        <v>302</v>
      </c>
      <c r="B249" s="30" t="s">
        <v>158</v>
      </c>
      <c r="C249" s="1" t="s">
        <v>316</v>
      </c>
      <c r="D249" s="18"/>
      <c r="E249" s="121">
        <f>E250</f>
        <v>960</v>
      </c>
      <c r="F249" s="121">
        <f>F250</f>
        <v>782.22</v>
      </c>
      <c r="G249" s="366">
        <f t="shared" si="12"/>
        <v>81.48125</v>
      </c>
    </row>
    <row r="250" spans="1:7" ht="12.75">
      <c r="A250" s="107" t="s">
        <v>44</v>
      </c>
      <c r="B250" s="30" t="s">
        <v>158</v>
      </c>
      <c r="C250" s="1" t="s">
        <v>316</v>
      </c>
      <c r="D250" s="18" t="s">
        <v>42</v>
      </c>
      <c r="E250" s="121">
        <f>'Пр.6 Р.П. ЦС. ВР'!E65</f>
        <v>960</v>
      </c>
      <c r="F250" s="121">
        <f>'Пр.6 Р.П. ЦС. ВР'!F65</f>
        <v>782.22</v>
      </c>
      <c r="G250" s="366">
        <f t="shared" si="12"/>
        <v>81.48125</v>
      </c>
    </row>
    <row r="251" spans="1:7" ht="25.5">
      <c r="A251" s="24" t="s">
        <v>112</v>
      </c>
      <c r="B251" s="30" t="s">
        <v>159</v>
      </c>
      <c r="C251" s="1"/>
      <c r="D251" s="18"/>
      <c r="E251" s="121">
        <f>E252</f>
        <v>15.2</v>
      </c>
      <c r="F251" s="121">
        <f>F252</f>
        <v>15.16</v>
      </c>
      <c r="G251" s="366">
        <f t="shared" si="12"/>
        <v>99.73684210526316</v>
      </c>
    </row>
    <row r="252" spans="1:7" ht="13.5" customHeight="1">
      <c r="A252" s="3" t="s">
        <v>307</v>
      </c>
      <c r="B252" s="30" t="s">
        <v>159</v>
      </c>
      <c r="C252" s="1" t="s">
        <v>311</v>
      </c>
      <c r="D252" s="18"/>
      <c r="E252" s="121">
        <f>E253</f>
        <v>15.2</v>
      </c>
      <c r="F252" s="121">
        <f>F253</f>
        <v>15.16</v>
      </c>
      <c r="G252" s="366">
        <f t="shared" si="12"/>
        <v>99.73684210526316</v>
      </c>
    </row>
    <row r="253" spans="1:7" ht="12.75">
      <c r="A253" s="107" t="s">
        <v>44</v>
      </c>
      <c r="B253" s="30" t="s">
        <v>159</v>
      </c>
      <c r="C253" s="1" t="s">
        <v>311</v>
      </c>
      <c r="D253" s="18" t="s">
        <v>42</v>
      </c>
      <c r="E253" s="121">
        <f>'Пр.6 Р.П. ЦС. ВР'!E67</f>
        <v>15.2</v>
      </c>
      <c r="F253" s="121">
        <f>'Пр.6 Р.П. ЦС. ВР'!F67</f>
        <v>15.16</v>
      </c>
      <c r="G253" s="366">
        <f t="shared" si="12"/>
        <v>99.73684210526316</v>
      </c>
    </row>
    <row r="254" spans="1:7" ht="12.75">
      <c r="A254" s="21" t="s">
        <v>178</v>
      </c>
      <c r="B254" s="30" t="s">
        <v>179</v>
      </c>
      <c r="C254" s="1"/>
      <c r="D254" s="18"/>
      <c r="E254" s="121">
        <f>E255</f>
        <v>295</v>
      </c>
      <c r="F254" s="121">
        <f>F255</f>
        <v>222.83</v>
      </c>
      <c r="G254" s="366">
        <f t="shared" si="12"/>
        <v>75.535593220339</v>
      </c>
    </row>
    <row r="255" spans="1:7" ht="12.75">
      <c r="A255" s="21" t="s">
        <v>302</v>
      </c>
      <c r="B255" s="30" t="s">
        <v>179</v>
      </c>
      <c r="C255" s="1" t="s">
        <v>316</v>
      </c>
      <c r="D255" s="18"/>
      <c r="E255" s="121">
        <f>E256</f>
        <v>295</v>
      </c>
      <c r="F255" s="121">
        <f>F256</f>
        <v>222.83</v>
      </c>
      <c r="G255" s="366">
        <f t="shared" si="12"/>
        <v>75.535593220339</v>
      </c>
    </row>
    <row r="256" spans="1:7" ht="12.75">
      <c r="A256" s="111" t="s">
        <v>33</v>
      </c>
      <c r="B256" s="30" t="s">
        <v>179</v>
      </c>
      <c r="C256" s="1" t="s">
        <v>316</v>
      </c>
      <c r="D256" s="18" t="s">
        <v>32</v>
      </c>
      <c r="E256" s="121">
        <f>'Пр.6 Р.П. ЦС. ВР'!E137</f>
        <v>295</v>
      </c>
      <c r="F256" s="121">
        <f>'Пр.6 Р.П. ЦС. ВР'!F137</f>
        <v>222.83</v>
      </c>
      <c r="G256" s="366">
        <f t="shared" si="12"/>
        <v>75.535593220339</v>
      </c>
    </row>
    <row r="257" spans="1:7" ht="25.5" hidden="1">
      <c r="A257" s="62" t="s">
        <v>299</v>
      </c>
      <c r="B257" s="30" t="s">
        <v>298</v>
      </c>
      <c r="C257" s="1"/>
      <c r="D257" s="18"/>
      <c r="E257" s="121">
        <f>E258</f>
        <v>0</v>
      </c>
      <c r="F257" s="121">
        <f>F258</f>
        <v>0</v>
      </c>
      <c r="G257" s="366" t="e">
        <f t="shared" si="12"/>
        <v>#DIV/0!</v>
      </c>
    </row>
    <row r="258" spans="1:7" ht="12.75" hidden="1">
      <c r="A258" s="21" t="s">
        <v>302</v>
      </c>
      <c r="B258" s="30" t="s">
        <v>298</v>
      </c>
      <c r="C258" s="1" t="s">
        <v>316</v>
      </c>
      <c r="D258" s="18"/>
      <c r="E258" s="121">
        <f>E259</f>
        <v>0</v>
      </c>
      <c r="F258" s="121">
        <f>F259</f>
        <v>0</v>
      </c>
      <c r="G258" s="366" t="e">
        <f t="shared" si="12"/>
        <v>#DIV/0!</v>
      </c>
    </row>
    <row r="259" spans="1:7" ht="12.75" hidden="1">
      <c r="A259" s="109" t="s">
        <v>98</v>
      </c>
      <c r="B259" s="30" t="s">
        <v>298</v>
      </c>
      <c r="C259" s="1" t="s">
        <v>316</v>
      </c>
      <c r="D259" s="18" t="s">
        <v>99</v>
      </c>
      <c r="E259" s="121">
        <f>'Пр.6 Р.П. ЦС. ВР'!E126</f>
        <v>0</v>
      </c>
      <c r="F259" s="121">
        <f>'Пр.6 Р.П. ЦС. ВР'!F126</f>
        <v>0</v>
      </c>
      <c r="G259" s="366" t="e">
        <f t="shared" si="12"/>
        <v>#DIV/0!</v>
      </c>
    </row>
    <row r="260" spans="1:7" ht="38.25">
      <c r="A260" s="50" t="s">
        <v>549</v>
      </c>
      <c r="B260" s="30" t="s">
        <v>546</v>
      </c>
      <c r="C260" s="1"/>
      <c r="D260" s="18"/>
      <c r="E260" s="121">
        <f>E261</f>
        <v>51.9</v>
      </c>
      <c r="F260" s="121">
        <f>F261</f>
        <v>51.9</v>
      </c>
      <c r="G260" s="366">
        <f t="shared" si="12"/>
        <v>100</v>
      </c>
    </row>
    <row r="261" spans="1:7" ht="12.75">
      <c r="A261" s="21" t="s">
        <v>302</v>
      </c>
      <c r="B261" s="30" t="s">
        <v>546</v>
      </c>
      <c r="C261" s="1" t="s">
        <v>316</v>
      </c>
      <c r="D261" s="18"/>
      <c r="E261" s="121">
        <f>E262</f>
        <v>51.9</v>
      </c>
      <c r="F261" s="121">
        <f>F262</f>
        <v>51.9</v>
      </c>
      <c r="G261" s="366">
        <f t="shared" si="12"/>
        <v>100</v>
      </c>
    </row>
    <row r="262" spans="1:7" ht="12.75">
      <c r="A262" s="44" t="s">
        <v>540</v>
      </c>
      <c r="B262" s="30" t="s">
        <v>546</v>
      </c>
      <c r="C262" s="1" t="s">
        <v>316</v>
      </c>
      <c r="D262" s="18" t="s">
        <v>99</v>
      </c>
      <c r="E262" s="121">
        <f>'Пр.6 Р.П. ЦС. ВР'!E132</f>
        <v>51.9</v>
      </c>
      <c r="F262" s="121">
        <f>'Пр.6 Р.П. ЦС. ВР'!F132</f>
        <v>51.9</v>
      </c>
      <c r="G262" s="366">
        <f t="shared" si="12"/>
        <v>100</v>
      </c>
    </row>
    <row r="263" spans="1:7" ht="25.5">
      <c r="A263" s="62" t="s">
        <v>295</v>
      </c>
      <c r="B263" s="30" t="s">
        <v>189</v>
      </c>
      <c r="C263" s="1"/>
      <c r="D263" s="18"/>
      <c r="E263" s="121">
        <f>E264</f>
        <v>759.9462000000001</v>
      </c>
      <c r="F263" s="121">
        <f>F264</f>
        <v>475.33000000000004</v>
      </c>
      <c r="G263" s="366">
        <f t="shared" si="12"/>
        <v>62.54784878192693</v>
      </c>
    </row>
    <row r="264" spans="1:7" ht="12.75">
      <c r="A264" s="21" t="s">
        <v>302</v>
      </c>
      <c r="B264" s="30" t="s">
        <v>189</v>
      </c>
      <c r="C264" s="1" t="s">
        <v>316</v>
      </c>
      <c r="D264" s="18"/>
      <c r="E264" s="121">
        <f>E265+E266</f>
        <v>759.9462000000001</v>
      </c>
      <c r="F264" s="121">
        <f>F265+F266</f>
        <v>475.33000000000004</v>
      </c>
      <c r="G264" s="366">
        <f t="shared" si="12"/>
        <v>62.54784878192693</v>
      </c>
    </row>
    <row r="265" spans="1:7" ht="12.75">
      <c r="A265" s="109" t="s">
        <v>25</v>
      </c>
      <c r="B265" s="30" t="s">
        <v>189</v>
      </c>
      <c r="C265" s="1" t="s">
        <v>316</v>
      </c>
      <c r="D265" s="18" t="s">
        <v>24</v>
      </c>
      <c r="E265" s="121">
        <f>'Пр.6 Р.П. ЦС. ВР'!E145</f>
        <v>407.284</v>
      </c>
      <c r="F265" s="121">
        <f>'Пр.6 Р.П. ЦС. ВР'!F145</f>
        <v>122.78</v>
      </c>
      <c r="G265" s="366">
        <f t="shared" si="12"/>
        <v>30.146040600661944</v>
      </c>
    </row>
    <row r="266" spans="1:7" ht="12.75">
      <c r="A266" s="109" t="s">
        <v>296</v>
      </c>
      <c r="B266" s="30" t="s">
        <v>189</v>
      </c>
      <c r="C266" s="1" t="s">
        <v>316</v>
      </c>
      <c r="D266" s="18" t="s">
        <v>65</v>
      </c>
      <c r="E266" s="121">
        <f>'Пр.6 Р.П. ЦС. ВР'!E175</f>
        <v>352.66220000000004</v>
      </c>
      <c r="F266" s="121">
        <f>'Пр.6 Р.П. ЦС. ВР'!F175</f>
        <v>352.55</v>
      </c>
      <c r="G266" s="366">
        <f t="shared" si="12"/>
        <v>99.9681848522467</v>
      </c>
    </row>
    <row r="267" spans="1:7" ht="25.5">
      <c r="A267" s="3" t="s">
        <v>194</v>
      </c>
      <c r="B267" s="30" t="s">
        <v>195</v>
      </c>
      <c r="C267" s="1"/>
      <c r="D267" s="18"/>
      <c r="E267" s="121">
        <f>E268</f>
        <v>872.6</v>
      </c>
      <c r="F267" s="121">
        <f>F268</f>
        <v>872.5799999999999</v>
      </c>
      <c r="G267" s="366">
        <f t="shared" si="12"/>
        <v>99.99770799908319</v>
      </c>
    </row>
    <row r="268" spans="1:7" ht="12.75">
      <c r="A268" s="21" t="s">
        <v>302</v>
      </c>
      <c r="B268" s="30" t="s">
        <v>195</v>
      </c>
      <c r="C268" s="1" t="s">
        <v>316</v>
      </c>
      <c r="D268" s="18"/>
      <c r="E268" s="121">
        <f>E269</f>
        <v>872.6</v>
      </c>
      <c r="F268" s="121">
        <f>F269</f>
        <v>872.5799999999999</v>
      </c>
      <c r="G268" s="366">
        <f t="shared" si="12"/>
        <v>99.99770799908319</v>
      </c>
    </row>
    <row r="269" spans="1:7" ht="12.75">
      <c r="A269" s="109" t="s">
        <v>25</v>
      </c>
      <c r="B269" s="30" t="s">
        <v>195</v>
      </c>
      <c r="C269" s="1" t="s">
        <v>316</v>
      </c>
      <c r="D269" s="18" t="s">
        <v>24</v>
      </c>
      <c r="E269" s="121">
        <f>'Пр.6 Р.П. ЦС. ВР'!E148</f>
        <v>872.6</v>
      </c>
      <c r="F269" s="121">
        <f>'Пр.6 Р.П. ЦС. ВР'!F148</f>
        <v>872.5799999999999</v>
      </c>
      <c r="G269" s="366">
        <f aca="true" t="shared" si="14" ref="G269:G332">F269/E269*100</f>
        <v>99.99770799908319</v>
      </c>
    </row>
    <row r="270" spans="1:7" ht="12.75">
      <c r="A270" s="38" t="s">
        <v>204</v>
      </c>
      <c r="B270" s="30" t="s">
        <v>203</v>
      </c>
      <c r="C270" s="1"/>
      <c r="D270" s="18"/>
      <c r="E270" s="121">
        <f>E271</f>
        <v>4662</v>
      </c>
      <c r="F270" s="121">
        <f>F271</f>
        <v>4661.73</v>
      </c>
      <c r="G270" s="366">
        <f t="shared" si="14"/>
        <v>99.99420849420848</v>
      </c>
    </row>
    <row r="271" spans="1:7" ht="12.75">
      <c r="A271" s="21" t="s">
        <v>302</v>
      </c>
      <c r="B271" s="30" t="s">
        <v>203</v>
      </c>
      <c r="C271" s="1" t="s">
        <v>316</v>
      </c>
      <c r="D271" s="18"/>
      <c r="E271" s="121">
        <f>E272</f>
        <v>4662</v>
      </c>
      <c r="F271" s="121">
        <f>F272</f>
        <v>4661.73</v>
      </c>
      <c r="G271" s="366">
        <f t="shared" si="14"/>
        <v>99.99420849420848</v>
      </c>
    </row>
    <row r="272" spans="1:7" ht="12.75">
      <c r="A272" s="107" t="s">
        <v>100</v>
      </c>
      <c r="B272" s="30" t="s">
        <v>203</v>
      </c>
      <c r="C272" s="1" t="s">
        <v>316</v>
      </c>
      <c r="D272" s="18" t="s">
        <v>101</v>
      </c>
      <c r="E272" s="121">
        <f>'Пр.6 Р.П. ЦС. ВР'!E218</f>
        <v>4662</v>
      </c>
      <c r="F272" s="121">
        <f>'Пр.6 Р.П. ЦС. ВР'!F218</f>
        <v>4661.73</v>
      </c>
      <c r="G272" s="366">
        <f t="shared" si="14"/>
        <v>99.99420849420848</v>
      </c>
    </row>
    <row r="273" spans="1:7" ht="25.5" hidden="1">
      <c r="A273" s="34" t="s">
        <v>512</v>
      </c>
      <c r="B273" s="30" t="s">
        <v>205</v>
      </c>
      <c r="C273" s="1"/>
      <c r="D273" s="18"/>
      <c r="E273" s="121">
        <f>E274</f>
        <v>0</v>
      </c>
      <c r="F273" s="121">
        <f>F274</f>
        <v>0</v>
      </c>
      <c r="G273" s="366" t="e">
        <f t="shared" si="14"/>
        <v>#DIV/0!</v>
      </c>
    </row>
    <row r="274" spans="1:7" ht="15" customHeight="1" hidden="1">
      <c r="A274" s="3" t="s">
        <v>312</v>
      </c>
      <c r="B274" s="30" t="s">
        <v>205</v>
      </c>
      <c r="C274" s="1" t="s">
        <v>313</v>
      </c>
      <c r="D274" s="18"/>
      <c r="E274" s="121">
        <f>E275</f>
        <v>0</v>
      </c>
      <c r="F274" s="121">
        <f>F275</f>
        <v>0</v>
      </c>
      <c r="G274" s="366" t="e">
        <f t="shared" si="14"/>
        <v>#DIV/0!</v>
      </c>
    </row>
    <row r="275" spans="1:7" ht="12.75" hidden="1">
      <c r="A275" s="107" t="s">
        <v>100</v>
      </c>
      <c r="B275" s="30" t="s">
        <v>205</v>
      </c>
      <c r="C275" s="1" t="s">
        <v>313</v>
      </c>
      <c r="D275" s="18" t="s">
        <v>101</v>
      </c>
      <c r="E275" s="121">
        <f>'Пр.6 Р.П. ЦС. ВР'!E220</f>
        <v>0</v>
      </c>
      <c r="F275" s="121">
        <f>'Пр.6 Р.П. ЦС. ВР'!F220</f>
        <v>0</v>
      </c>
      <c r="G275" s="366" t="e">
        <f t="shared" si="14"/>
        <v>#DIV/0!</v>
      </c>
    </row>
    <row r="276" spans="1:7" ht="25.5">
      <c r="A276" s="34" t="s">
        <v>206</v>
      </c>
      <c r="B276" s="30" t="s">
        <v>207</v>
      </c>
      <c r="C276" s="1"/>
      <c r="D276" s="18"/>
      <c r="E276" s="121">
        <f>E277</f>
        <v>750</v>
      </c>
      <c r="F276" s="121">
        <f>F277</f>
        <v>741.4300000000001</v>
      </c>
      <c r="G276" s="366">
        <f t="shared" si="14"/>
        <v>98.85733333333334</v>
      </c>
    </row>
    <row r="277" spans="1:7" ht="12.75">
      <c r="A277" s="21" t="s">
        <v>302</v>
      </c>
      <c r="B277" s="30" t="s">
        <v>207</v>
      </c>
      <c r="C277" s="1" t="s">
        <v>316</v>
      </c>
      <c r="D277" s="18"/>
      <c r="E277" s="121">
        <f>E278</f>
        <v>750</v>
      </c>
      <c r="F277" s="121">
        <f>F278</f>
        <v>741.4300000000001</v>
      </c>
      <c r="G277" s="366">
        <f t="shared" si="14"/>
        <v>98.85733333333334</v>
      </c>
    </row>
    <row r="278" spans="1:7" ht="12.75">
      <c r="A278" s="107" t="s">
        <v>100</v>
      </c>
      <c r="B278" s="30" t="s">
        <v>207</v>
      </c>
      <c r="C278" s="1" t="s">
        <v>316</v>
      </c>
      <c r="D278" s="18" t="s">
        <v>101</v>
      </c>
      <c r="E278" s="121">
        <f>'Пр.6 Р.П. ЦС. ВР'!E222</f>
        <v>750</v>
      </c>
      <c r="F278" s="121">
        <f>'Пр.6 Р.П. ЦС. ВР'!F222</f>
        <v>741.4300000000001</v>
      </c>
      <c r="G278" s="366">
        <f t="shared" si="14"/>
        <v>98.85733333333334</v>
      </c>
    </row>
    <row r="279" spans="1:7" ht="12.75" hidden="1">
      <c r="A279" s="117" t="s">
        <v>287</v>
      </c>
      <c r="B279" s="30" t="s">
        <v>283</v>
      </c>
      <c r="C279" s="1"/>
      <c r="D279" s="18"/>
      <c r="E279" s="121">
        <f>E280</f>
        <v>0</v>
      </c>
      <c r="F279" s="121">
        <f>F280</f>
        <v>0</v>
      </c>
      <c r="G279" s="366" t="e">
        <f t="shared" si="14"/>
        <v>#DIV/0!</v>
      </c>
    </row>
    <row r="280" spans="1:7" ht="12.75" hidden="1">
      <c r="A280" s="24" t="s">
        <v>38</v>
      </c>
      <c r="B280" s="30" t="s">
        <v>283</v>
      </c>
      <c r="C280" s="1" t="s">
        <v>61</v>
      </c>
      <c r="D280" s="18"/>
      <c r="E280" s="121">
        <f>E281</f>
        <v>0</v>
      </c>
      <c r="F280" s="121">
        <f>F281</f>
        <v>0</v>
      </c>
      <c r="G280" s="366" t="e">
        <f t="shared" si="14"/>
        <v>#DIV/0!</v>
      </c>
    </row>
    <row r="281" spans="1:7" ht="12.75" hidden="1">
      <c r="A281" s="107" t="s">
        <v>100</v>
      </c>
      <c r="B281" s="30" t="s">
        <v>283</v>
      </c>
      <c r="C281" s="1" t="s">
        <v>61</v>
      </c>
      <c r="D281" s="18" t="s">
        <v>101</v>
      </c>
      <c r="E281" s="121"/>
      <c r="F281" s="121"/>
      <c r="G281" s="366" t="e">
        <f t="shared" si="14"/>
        <v>#DIV/0!</v>
      </c>
    </row>
    <row r="282" spans="1:7" ht="25.5" hidden="1">
      <c r="A282" s="3" t="s">
        <v>242</v>
      </c>
      <c r="B282" s="35" t="s">
        <v>240</v>
      </c>
      <c r="C282" s="1"/>
      <c r="D282" s="18"/>
      <c r="E282" s="121">
        <f>E283</f>
        <v>0</v>
      </c>
      <c r="F282" s="121">
        <f>F283</f>
        <v>0</v>
      </c>
      <c r="G282" s="366" t="e">
        <f t="shared" si="14"/>
        <v>#DIV/0!</v>
      </c>
    </row>
    <row r="283" spans="1:7" ht="25.5" hidden="1">
      <c r="A283" s="34" t="s">
        <v>27</v>
      </c>
      <c r="B283" s="35" t="s">
        <v>240</v>
      </c>
      <c r="C283" s="1" t="s">
        <v>26</v>
      </c>
      <c r="D283" s="18"/>
      <c r="E283" s="121">
        <f>E284</f>
        <v>0</v>
      </c>
      <c r="F283" s="121">
        <f>F284</f>
        <v>0</v>
      </c>
      <c r="G283" s="366" t="e">
        <f t="shared" si="14"/>
        <v>#DIV/0!</v>
      </c>
    </row>
    <row r="284" spans="1:7" ht="12.75" hidden="1">
      <c r="A284" s="109" t="s">
        <v>25</v>
      </c>
      <c r="B284" s="35" t="s">
        <v>240</v>
      </c>
      <c r="C284" s="1" t="s">
        <v>26</v>
      </c>
      <c r="D284" s="18" t="s">
        <v>24</v>
      </c>
      <c r="E284" s="121">
        <f>'Пр.6 Р.П. ЦС. ВР'!E150</f>
        <v>0</v>
      </c>
      <c r="F284" s="121">
        <f>'Пр.6 Р.П. ЦС. ВР'!F150</f>
        <v>0</v>
      </c>
      <c r="G284" s="366" t="e">
        <f t="shared" si="14"/>
        <v>#DIV/0!</v>
      </c>
    </row>
    <row r="285" spans="1:7" ht="12.75" hidden="1">
      <c r="A285" s="31" t="s">
        <v>254</v>
      </c>
      <c r="B285" s="28" t="s">
        <v>240</v>
      </c>
      <c r="C285" s="1"/>
      <c r="D285" s="18"/>
      <c r="E285" s="121">
        <f>E286</f>
        <v>0</v>
      </c>
      <c r="F285" s="121">
        <f>F286</f>
        <v>0</v>
      </c>
      <c r="G285" s="366" t="e">
        <f t="shared" si="14"/>
        <v>#DIV/0!</v>
      </c>
    </row>
    <row r="286" spans="1:7" ht="12.75" hidden="1">
      <c r="A286" s="24" t="s">
        <v>38</v>
      </c>
      <c r="B286" s="28" t="s">
        <v>240</v>
      </c>
      <c r="C286" s="1" t="s">
        <v>61</v>
      </c>
      <c r="D286" s="18"/>
      <c r="E286" s="121">
        <f>E287</f>
        <v>0</v>
      </c>
      <c r="F286" s="121">
        <f>F287</f>
        <v>0</v>
      </c>
      <c r="G286" s="366" t="e">
        <f t="shared" si="14"/>
        <v>#DIV/0!</v>
      </c>
    </row>
    <row r="287" spans="1:7" ht="12.75" hidden="1">
      <c r="A287" s="107" t="s">
        <v>44</v>
      </c>
      <c r="B287" s="28" t="s">
        <v>240</v>
      </c>
      <c r="C287" s="1" t="s">
        <v>61</v>
      </c>
      <c r="D287" s="18" t="s">
        <v>42</v>
      </c>
      <c r="E287" s="121">
        <f>'Пр.6 Р.П. ЦС. ВР'!E69</f>
        <v>0</v>
      </c>
      <c r="F287" s="121">
        <f>'Пр.6 Р.П. ЦС. ВР'!F69</f>
        <v>0</v>
      </c>
      <c r="G287" s="366" t="e">
        <f t="shared" si="14"/>
        <v>#DIV/0!</v>
      </c>
    </row>
    <row r="288" spans="1:7" ht="12.75" hidden="1">
      <c r="A288" s="21" t="s">
        <v>258</v>
      </c>
      <c r="B288" s="1" t="s">
        <v>257</v>
      </c>
      <c r="C288" s="1"/>
      <c r="D288" s="18"/>
      <c r="E288" s="121">
        <f>E289</f>
        <v>0</v>
      </c>
      <c r="F288" s="121">
        <f>F289</f>
        <v>0</v>
      </c>
      <c r="G288" s="366" t="e">
        <f t="shared" si="14"/>
        <v>#DIV/0!</v>
      </c>
    </row>
    <row r="289" spans="1:7" ht="12.75" hidden="1">
      <c r="A289" s="24" t="s">
        <v>38</v>
      </c>
      <c r="B289" s="1" t="s">
        <v>257</v>
      </c>
      <c r="C289" s="1" t="s">
        <v>61</v>
      </c>
      <c r="D289" s="18"/>
      <c r="E289" s="121">
        <f>E290</f>
        <v>0</v>
      </c>
      <c r="F289" s="121">
        <f>F290</f>
        <v>0</v>
      </c>
      <c r="G289" s="366" t="e">
        <f t="shared" si="14"/>
        <v>#DIV/0!</v>
      </c>
    </row>
    <row r="290" spans="1:7" ht="12.75" hidden="1">
      <c r="A290" s="24" t="s">
        <v>20</v>
      </c>
      <c r="B290" s="1" t="s">
        <v>257</v>
      </c>
      <c r="C290" s="1" t="s">
        <v>61</v>
      </c>
      <c r="D290" s="18" t="s">
        <v>19</v>
      </c>
      <c r="E290" s="121">
        <f>'Пр.6 Р.П. ЦС. ВР'!E311</f>
        <v>0</v>
      </c>
      <c r="F290" s="121">
        <f>'Пр.6 Р.П. ЦС. ВР'!F311</f>
        <v>0</v>
      </c>
      <c r="G290" s="366" t="e">
        <f t="shared" si="14"/>
        <v>#DIV/0!</v>
      </c>
    </row>
    <row r="291" spans="1:7" ht="12.75">
      <c r="A291" s="118" t="s">
        <v>286</v>
      </c>
      <c r="B291" s="30" t="s">
        <v>285</v>
      </c>
      <c r="C291" s="1"/>
      <c r="D291" s="18"/>
      <c r="E291" s="121">
        <f>E292</f>
        <v>2380.49397</v>
      </c>
      <c r="F291" s="121">
        <f>F292</f>
        <v>2380.49</v>
      </c>
      <c r="G291" s="366">
        <f t="shared" si="14"/>
        <v>99.99983322789092</v>
      </c>
    </row>
    <row r="292" spans="1:7" ht="12.75">
      <c r="A292" s="21" t="s">
        <v>302</v>
      </c>
      <c r="B292" s="30" t="s">
        <v>285</v>
      </c>
      <c r="C292" s="1" t="s">
        <v>316</v>
      </c>
      <c r="D292" s="18"/>
      <c r="E292" s="121">
        <f>E293</f>
        <v>2380.49397</v>
      </c>
      <c r="F292" s="121">
        <f>F293</f>
        <v>2380.49</v>
      </c>
      <c r="G292" s="366">
        <f t="shared" si="14"/>
        <v>99.99983322789092</v>
      </c>
    </row>
    <row r="293" spans="1:7" ht="12.75">
      <c r="A293" s="107" t="s">
        <v>66</v>
      </c>
      <c r="B293" s="30" t="s">
        <v>285</v>
      </c>
      <c r="C293" s="1" t="s">
        <v>316</v>
      </c>
      <c r="D293" s="18" t="s">
        <v>65</v>
      </c>
      <c r="E293" s="121">
        <f>'Пр.6 Р.П. ЦС. ВР'!E179</f>
        <v>2380.49397</v>
      </c>
      <c r="F293" s="121">
        <f>'Пр.6 Р.П. ЦС. ВР'!F179</f>
        <v>2380.49</v>
      </c>
      <c r="G293" s="366">
        <f t="shared" si="14"/>
        <v>99.99983322789092</v>
      </c>
    </row>
    <row r="294" spans="1:7" ht="12.75">
      <c r="A294" s="34" t="s">
        <v>333</v>
      </c>
      <c r="B294" s="30" t="s">
        <v>334</v>
      </c>
      <c r="C294" s="1"/>
      <c r="D294" s="18"/>
      <c r="E294" s="121">
        <f>E295</f>
        <v>300</v>
      </c>
      <c r="F294" s="121">
        <f>F295</f>
        <v>268.31</v>
      </c>
      <c r="G294" s="366">
        <f t="shared" si="14"/>
        <v>89.43666666666667</v>
      </c>
    </row>
    <row r="295" spans="1:7" ht="12.75">
      <c r="A295" s="21" t="s">
        <v>302</v>
      </c>
      <c r="B295" s="30" t="s">
        <v>334</v>
      </c>
      <c r="C295" s="1" t="s">
        <v>316</v>
      </c>
      <c r="D295" s="18"/>
      <c r="E295" s="121">
        <f>E296</f>
        <v>300</v>
      </c>
      <c r="F295" s="121">
        <f>F296</f>
        <v>268.31</v>
      </c>
      <c r="G295" s="366">
        <f t="shared" si="14"/>
        <v>89.43666666666667</v>
      </c>
    </row>
    <row r="296" spans="1:7" ht="12.75">
      <c r="A296" s="107" t="s">
        <v>100</v>
      </c>
      <c r="B296" s="30" t="s">
        <v>334</v>
      </c>
      <c r="C296" s="1" t="s">
        <v>316</v>
      </c>
      <c r="D296" s="18" t="s">
        <v>101</v>
      </c>
      <c r="E296" s="121">
        <f>'Пр.6 Р.П. ЦС. ВР'!E228</f>
        <v>300</v>
      </c>
      <c r="F296" s="121">
        <f>'Пр.6 Р.П. ЦС. ВР'!F228</f>
        <v>268.31</v>
      </c>
      <c r="G296" s="366">
        <f t="shared" si="14"/>
        <v>89.43666666666667</v>
      </c>
    </row>
    <row r="297" spans="1:7" ht="25.5">
      <c r="A297" s="140" t="s">
        <v>351</v>
      </c>
      <c r="B297" s="30" t="s">
        <v>338</v>
      </c>
      <c r="C297" s="1"/>
      <c r="D297" s="18"/>
      <c r="E297" s="121">
        <f>E298</f>
        <v>182</v>
      </c>
      <c r="F297" s="121">
        <f>F298</f>
        <v>182</v>
      </c>
      <c r="G297" s="366">
        <f t="shared" si="14"/>
        <v>100</v>
      </c>
    </row>
    <row r="298" spans="1:7" ht="15.75" customHeight="1">
      <c r="A298" s="21" t="s">
        <v>303</v>
      </c>
      <c r="B298" s="30" t="s">
        <v>338</v>
      </c>
      <c r="C298" s="1" t="s">
        <v>316</v>
      </c>
      <c r="D298" s="18"/>
      <c r="E298" s="121">
        <f>E299</f>
        <v>182</v>
      </c>
      <c r="F298" s="121">
        <f>F299</f>
        <v>182</v>
      </c>
      <c r="G298" s="366">
        <f t="shared" si="14"/>
        <v>100</v>
      </c>
    </row>
    <row r="299" spans="1:7" ht="12.75">
      <c r="A299" s="139" t="s">
        <v>73</v>
      </c>
      <c r="B299" s="30" t="s">
        <v>338</v>
      </c>
      <c r="C299" s="1" t="s">
        <v>316</v>
      </c>
      <c r="D299" s="18" t="s">
        <v>72</v>
      </c>
      <c r="E299" s="121">
        <f>'Пр.6 Р.П. ЦС. ВР'!E323</f>
        <v>182</v>
      </c>
      <c r="F299" s="121">
        <f>'Пр.6 Р.П. ЦС. ВР'!F323</f>
        <v>182</v>
      </c>
      <c r="G299" s="366">
        <f t="shared" si="14"/>
        <v>100</v>
      </c>
    </row>
    <row r="300" spans="1:7" ht="25.5">
      <c r="A300" s="24" t="s">
        <v>154</v>
      </c>
      <c r="B300" s="30" t="s">
        <v>76</v>
      </c>
      <c r="C300" s="1"/>
      <c r="D300" s="18"/>
      <c r="E300" s="121">
        <f>E301</f>
        <v>400</v>
      </c>
      <c r="F300" s="121">
        <f>F301</f>
        <v>0</v>
      </c>
      <c r="G300" s="366">
        <f t="shared" si="14"/>
        <v>0</v>
      </c>
    </row>
    <row r="301" spans="1:7" ht="12.75">
      <c r="A301" s="24" t="s">
        <v>113</v>
      </c>
      <c r="B301" s="30" t="s">
        <v>76</v>
      </c>
      <c r="C301" s="1" t="s">
        <v>227</v>
      </c>
      <c r="D301" s="18"/>
      <c r="E301" s="121">
        <f>E302</f>
        <v>400</v>
      </c>
      <c r="F301" s="121">
        <f>F302</f>
        <v>0</v>
      </c>
      <c r="G301" s="366">
        <f t="shared" si="14"/>
        <v>0</v>
      </c>
    </row>
    <row r="302" spans="1:7" ht="12.75">
      <c r="A302" s="112" t="s">
        <v>86</v>
      </c>
      <c r="B302" s="30" t="s">
        <v>76</v>
      </c>
      <c r="C302" s="1" t="s">
        <v>227</v>
      </c>
      <c r="D302" s="18" t="s">
        <v>77</v>
      </c>
      <c r="E302" s="121">
        <f>'Пр.6 Р.П. ЦС. ВР'!E53</f>
        <v>400</v>
      </c>
      <c r="F302" s="121">
        <f>'Пр.6 Р.П. ЦС. ВР'!F53</f>
        <v>0</v>
      </c>
      <c r="G302" s="366">
        <f t="shared" si="14"/>
        <v>0</v>
      </c>
    </row>
    <row r="303" spans="1:7" ht="25.5">
      <c r="A303" s="38" t="s">
        <v>182</v>
      </c>
      <c r="B303" s="28" t="s">
        <v>181</v>
      </c>
      <c r="C303" s="1"/>
      <c r="D303" s="18"/>
      <c r="E303" s="121">
        <f>E304+E307+E308</f>
        <v>503.84</v>
      </c>
      <c r="F303" s="121">
        <f>F304+F307+F308</f>
        <v>503.84</v>
      </c>
      <c r="G303" s="366">
        <f t="shared" si="14"/>
        <v>100</v>
      </c>
    </row>
    <row r="304" spans="1:7" ht="12.75">
      <c r="A304" s="31" t="s">
        <v>304</v>
      </c>
      <c r="B304" s="28" t="s">
        <v>181</v>
      </c>
      <c r="C304" s="1" t="s">
        <v>305</v>
      </c>
      <c r="D304" s="18"/>
      <c r="E304" s="121">
        <f>E305</f>
        <v>446.23969</v>
      </c>
      <c r="F304" s="121">
        <f>F305</f>
        <v>446.23969</v>
      </c>
      <c r="G304" s="366">
        <f t="shared" si="14"/>
        <v>100</v>
      </c>
    </row>
    <row r="305" spans="1:7" ht="12.75">
      <c r="A305" s="106" t="s">
        <v>124</v>
      </c>
      <c r="B305" s="28" t="s">
        <v>181</v>
      </c>
      <c r="C305" s="1" t="s">
        <v>305</v>
      </c>
      <c r="D305" s="18" t="s">
        <v>125</v>
      </c>
      <c r="E305" s="121">
        <f>'Пр.6 Р.П. ЦС. ВР'!E85</f>
        <v>446.23969</v>
      </c>
      <c r="F305" s="121">
        <f>'Пр.6 Р.П. ЦС. ВР'!F85</f>
        <v>446.23969</v>
      </c>
      <c r="G305" s="366">
        <f t="shared" si="14"/>
        <v>100</v>
      </c>
    </row>
    <row r="306" spans="1:7" s="16" customFormat="1" ht="12.75" hidden="1">
      <c r="A306" s="24" t="s">
        <v>115</v>
      </c>
      <c r="B306" s="28" t="s">
        <v>181</v>
      </c>
      <c r="C306" s="1" t="s">
        <v>80</v>
      </c>
      <c r="D306" s="18"/>
      <c r="E306" s="121">
        <f>E307</f>
        <v>0</v>
      </c>
      <c r="F306" s="121">
        <f>F307</f>
        <v>0</v>
      </c>
      <c r="G306" s="366" t="e">
        <f t="shared" si="14"/>
        <v>#DIV/0!</v>
      </c>
    </row>
    <row r="307" spans="1:7" s="16" customFormat="1" ht="12.75" hidden="1">
      <c r="A307" s="106" t="s">
        <v>124</v>
      </c>
      <c r="B307" s="28" t="s">
        <v>181</v>
      </c>
      <c r="C307" s="1" t="s">
        <v>80</v>
      </c>
      <c r="D307" s="18" t="s">
        <v>125</v>
      </c>
      <c r="E307" s="121">
        <f>'Пр.6 Р.П. ЦС. ВР'!E86</f>
        <v>0</v>
      </c>
      <c r="F307" s="121">
        <f>'Пр.6 Р.П. ЦС. ВР'!F86</f>
        <v>0</v>
      </c>
      <c r="G307" s="366" t="e">
        <f t="shared" si="14"/>
        <v>#DIV/0!</v>
      </c>
    </row>
    <row r="308" spans="1:7" ht="12.75">
      <c r="A308" s="21" t="s">
        <v>302</v>
      </c>
      <c r="B308" s="28" t="s">
        <v>181</v>
      </c>
      <c r="C308" s="1" t="s">
        <v>316</v>
      </c>
      <c r="D308" s="18"/>
      <c r="E308" s="121">
        <f>E309</f>
        <v>57.60030999999999</v>
      </c>
      <c r="F308" s="121">
        <f>F309</f>
        <v>57.60030999999999</v>
      </c>
      <c r="G308" s="366">
        <f t="shared" si="14"/>
        <v>100</v>
      </c>
    </row>
    <row r="309" spans="1:7" ht="12.75">
      <c r="A309" s="106" t="s">
        <v>124</v>
      </c>
      <c r="B309" s="28" t="s">
        <v>181</v>
      </c>
      <c r="C309" s="1" t="s">
        <v>316</v>
      </c>
      <c r="D309" s="18" t="s">
        <v>125</v>
      </c>
      <c r="E309" s="121">
        <f>'Пр.6 Р.П. ЦС. ВР'!E87</f>
        <v>57.60030999999999</v>
      </c>
      <c r="F309" s="121">
        <f>'Пр.6 Р.П. ЦС. ВР'!F87</f>
        <v>57.60030999999999</v>
      </c>
      <c r="G309" s="366">
        <f t="shared" si="14"/>
        <v>100</v>
      </c>
    </row>
    <row r="310" spans="1:7" ht="12.75" hidden="1">
      <c r="A310" s="21" t="s">
        <v>258</v>
      </c>
      <c r="B310" s="1" t="s">
        <v>261</v>
      </c>
      <c r="C310" s="1"/>
      <c r="D310" s="18"/>
      <c r="E310" s="121">
        <f>E311</f>
        <v>0</v>
      </c>
      <c r="F310" s="121">
        <f>F311</f>
        <v>0</v>
      </c>
      <c r="G310" s="366" t="e">
        <f t="shared" si="14"/>
        <v>#DIV/0!</v>
      </c>
    </row>
    <row r="311" spans="1:7" ht="12.75" hidden="1">
      <c r="A311" s="24" t="s">
        <v>38</v>
      </c>
      <c r="B311" s="1" t="s">
        <v>261</v>
      </c>
      <c r="C311" s="1" t="s">
        <v>61</v>
      </c>
      <c r="D311" s="18"/>
      <c r="E311" s="121">
        <f>E312</f>
        <v>0</v>
      </c>
      <c r="F311" s="121">
        <f>F312</f>
        <v>0</v>
      </c>
      <c r="G311" s="366" t="e">
        <f t="shared" si="14"/>
        <v>#DIV/0!</v>
      </c>
    </row>
    <row r="312" spans="1:7" ht="12.75" hidden="1">
      <c r="A312" s="24" t="s">
        <v>20</v>
      </c>
      <c r="B312" s="1" t="s">
        <v>261</v>
      </c>
      <c r="C312" s="1" t="s">
        <v>61</v>
      </c>
      <c r="D312" s="18" t="s">
        <v>19</v>
      </c>
      <c r="E312" s="121">
        <f>'Пр.6 Р.П. ЦС. ВР'!E313</f>
        <v>0</v>
      </c>
      <c r="F312" s="121">
        <f>'Пр.6 Р.П. ЦС. ВР'!F313</f>
        <v>0</v>
      </c>
      <c r="G312" s="366" t="e">
        <f t="shared" si="14"/>
        <v>#DIV/0!</v>
      </c>
    </row>
    <row r="313" spans="1:7" ht="25.5" hidden="1">
      <c r="A313" s="24" t="s">
        <v>294</v>
      </c>
      <c r="B313" s="1" t="s">
        <v>282</v>
      </c>
      <c r="C313" s="1"/>
      <c r="D313" s="18"/>
      <c r="E313" s="121">
        <f>E314</f>
        <v>0</v>
      </c>
      <c r="F313" s="121">
        <f>F314</f>
        <v>0</v>
      </c>
      <c r="G313" s="366" t="e">
        <f t="shared" si="14"/>
        <v>#DIV/0!</v>
      </c>
    </row>
    <row r="314" spans="1:7" ht="12.75" hidden="1">
      <c r="A314" s="24" t="s">
        <v>38</v>
      </c>
      <c r="B314" s="1" t="s">
        <v>282</v>
      </c>
      <c r="C314" s="1" t="s">
        <v>61</v>
      </c>
      <c r="D314" s="18"/>
      <c r="E314" s="121">
        <f>E315+E316</f>
        <v>0</v>
      </c>
      <c r="F314" s="121">
        <f>F315+F316</f>
        <v>0</v>
      </c>
      <c r="G314" s="366" t="e">
        <f t="shared" si="14"/>
        <v>#DIV/0!</v>
      </c>
    </row>
    <row r="315" spans="1:7" ht="12.75" hidden="1">
      <c r="A315" s="24" t="s">
        <v>100</v>
      </c>
      <c r="B315" s="1" t="s">
        <v>282</v>
      </c>
      <c r="C315" s="1" t="s">
        <v>61</v>
      </c>
      <c r="D315" s="18" t="s">
        <v>101</v>
      </c>
      <c r="E315" s="121">
        <f>'Пр.6 Р.П. ЦС. ВР'!E224</f>
        <v>0</v>
      </c>
      <c r="F315" s="121">
        <f>'Пр.6 Р.П. ЦС. ВР'!F224</f>
        <v>0</v>
      </c>
      <c r="G315" s="366" t="e">
        <f t="shared" si="14"/>
        <v>#DIV/0!</v>
      </c>
    </row>
    <row r="316" spans="1:7" ht="12.75" hidden="1">
      <c r="A316" s="24" t="s">
        <v>20</v>
      </c>
      <c r="B316" s="1" t="s">
        <v>282</v>
      </c>
      <c r="C316" s="1" t="s">
        <v>61</v>
      </c>
      <c r="D316" s="18" t="s">
        <v>19</v>
      </c>
      <c r="E316" s="121">
        <f>'Пр.6 Р.П. ЦС. ВР'!E315</f>
        <v>0</v>
      </c>
      <c r="F316" s="121">
        <f>'Пр.6 Р.П. ЦС. ВР'!F315</f>
        <v>0</v>
      </c>
      <c r="G316" s="366" t="e">
        <f t="shared" si="14"/>
        <v>#DIV/0!</v>
      </c>
    </row>
    <row r="317" spans="1:7" ht="12.75">
      <c r="A317" s="24" t="s">
        <v>541</v>
      </c>
      <c r="B317" s="1" t="s">
        <v>539</v>
      </c>
      <c r="C317" s="1"/>
      <c r="D317" s="18"/>
      <c r="E317" s="121">
        <f>E318</f>
        <v>1000</v>
      </c>
      <c r="F317" s="121">
        <f>F318</f>
        <v>1000</v>
      </c>
      <c r="G317" s="366">
        <f t="shared" si="14"/>
        <v>100</v>
      </c>
    </row>
    <row r="318" spans="1:7" s="19" customFormat="1" ht="12.75">
      <c r="A318" s="21" t="s">
        <v>302</v>
      </c>
      <c r="B318" s="1" t="s">
        <v>539</v>
      </c>
      <c r="C318" s="22" t="s">
        <v>316</v>
      </c>
      <c r="D318" s="18"/>
      <c r="E318" s="121">
        <f>E319</f>
        <v>1000</v>
      </c>
      <c r="F318" s="121">
        <f>F319</f>
        <v>1000</v>
      </c>
      <c r="G318" s="366">
        <f t="shared" si="14"/>
        <v>100</v>
      </c>
    </row>
    <row r="319" spans="1:7" s="19" customFormat="1" ht="12.75">
      <c r="A319" s="92" t="s">
        <v>66</v>
      </c>
      <c r="B319" s="1" t="s">
        <v>539</v>
      </c>
      <c r="C319" s="22" t="s">
        <v>316</v>
      </c>
      <c r="D319" s="18" t="s">
        <v>65</v>
      </c>
      <c r="E319" s="121">
        <f>'Пр.6 Р.П. ЦС. ВР'!E181</f>
        <v>1000</v>
      </c>
      <c r="F319" s="121">
        <f>'Пр.6 Р.П. ЦС. ВР'!F181</f>
        <v>1000</v>
      </c>
      <c r="G319" s="366">
        <f t="shared" si="14"/>
        <v>100</v>
      </c>
    </row>
    <row r="320" spans="1:7" ht="25.5">
      <c r="A320" s="25" t="s">
        <v>62</v>
      </c>
      <c r="B320" s="1" t="s">
        <v>278</v>
      </c>
      <c r="C320" s="1"/>
      <c r="D320" s="18"/>
      <c r="E320" s="121">
        <f>E321+E323</f>
        <v>1258.9</v>
      </c>
      <c r="F320" s="121">
        <f>F321+F323</f>
        <v>1258.9</v>
      </c>
      <c r="G320" s="366">
        <f t="shared" si="14"/>
        <v>100</v>
      </c>
    </row>
    <row r="321" spans="1:7" ht="15.75" customHeight="1">
      <c r="A321" s="130" t="s">
        <v>306</v>
      </c>
      <c r="B321" s="1" t="s">
        <v>278</v>
      </c>
      <c r="C321" s="1" t="s">
        <v>310</v>
      </c>
      <c r="D321" s="18"/>
      <c r="E321" s="121">
        <f>E322</f>
        <v>558.9</v>
      </c>
      <c r="F321" s="121">
        <f>F322</f>
        <v>558.9</v>
      </c>
      <c r="G321" s="366">
        <f t="shared" si="14"/>
        <v>100</v>
      </c>
    </row>
    <row r="322" spans="1:7" ht="12.75">
      <c r="A322" s="38" t="s">
        <v>18</v>
      </c>
      <c r="B322" s="1" t="s">
        <v>278</v>
      </c>
      <c r="C322" s="1" t="s">
        <v>310</v>
      </c>
      <c r="D322" s="18" t="s">
        <v>17</v>
      </c>
      <c r="E322" s="121">
        <f>'Пр.6 Р.П. ЦС. ВР'!E257</f>
        <v>558.9</v>
      </c>
      <c r="F322" s="121">
        <f>'Пр.6 Р.П. ЦС. ВР'!F257</f>
        <v>558.9</v>
      </c>
      <c r="G322" s="366">
        <f t="shared" si="14"/>
        <v>100</v>
      </c>
    </row>
    <row r="323" spans="1:7" ht="25.5">
      <c r="A323" s="25" t="s">
        <v>62</v>
      </c>
      <c r="B323" s="1" t="s">
        <v>278</v>
      </c>
      <c r="C323" s="1" t="s">
        <v>313</v>
      </c>
      <c r="D323" s="18"/>
      <c r="E323" s="121">
        <f>E324</f>
        <v>700</v>
      </c>
      <c r="F323" s="121">
        <f>F324</f>
        <v>700</v>
      </c>
      <c r="G323" s="366">
        <f t="shared" si="14"/>
        <v>100</v>
      </c>
    </row>
    <row r="324" spans="1:7" ht="12.75">
      <c r="A324" s="38" t="s">
        <v>18</v>
      </c>
      <c r="B324" s="1" t="s">
        <v>278</v>
      </c>
      <c r="C324" s="1" t="s">
        <v>313</v>
      </c>
      <c r="D324" s="18" t="s">
        <v>17</v>
      </c>
      <c r="E324" s="121">
        <f>'Пр.6 Р.П. ЦС. ВР'!E258</f>
        <v>700</v>
      </c>
      <c r="F324" s="121">
        <f>'Пр.6 Р.П. ЦС. ВР'!F258</f>
        <v>700</v>
      </c>
      <c r="G324" s="366">
        <f t="shared" si="14"/>
        <v>100</v>
      </c>
    </row>
    <row r="325" spans="1:7" ht="12.75" hidden="1">
      <c r="A325" s="38" t="s">
        <v>277</v>
      </c>
      <c r="B325" s="1" t="s">
        <v>276</v>
      </c>
      <c r="C325" s="1"/>
      <c r="D325" s="18"/>
      <c r="E325" s="121">
        <f>E326</f>
        <v>0</v>
      </c>
      <c r="F325" s="121">
        <f>F326</f>
        <v>0</v>
      </c>
      <c r="G325" s="366" t="e">
        <f t="shared" si="14"/>
        <v>#DIV/0!</v>
      </c>
    </row>
    <row r="326" spans="1:7" ht="12.75" hidden="1">
      <c r="A326" s="24" t="s">
        <v>38</v>
      </c>
      <c r="B326" s="1" t="s">
        <v>276</v>
      </c>
      <c r="C326" s="1" t="s">
        <v>61</v>
      </c>
      <c r="D326" s="18"/>
      <c r="E326" s="121">
        <f>E327</f>
        <v>0</v>
      </c>
      <c r="F326" s="121">
        <f>F327</f>
        <v>0</v>
      </c>
      <c r="G326" s="366" t="e">
        <f t="shared" si="14"/>
        <v>#DIV/0!</v>
      </c>
    </row>
    <row r="327" spans="1:7" ht="12.75" hidden="1">
      <c r="A327" s="38" t="s">
        <v>18</v>
      </c>
      <c r="B327" s="1" t="s">
        <v>276</v>
      </c>
      <c r="C327" s="1" t="s">
        <v>61</v>
      </c>
      <c r="D327" s="18" t="s">
        <v>17</v>
      </c>
      <c r="E327" s="121">
        <f>'Пр.6 Р.П. ЦС. ВР'!E260</f>
        <v>0</v>
      </c>
      <c r="F327" s="121">
        <f>'Пр.6 Р.П. ЦС. ВР'!F260</f>
        <v>0</v>
      </c>
      <c r="G327" s="366" t="e">
        <f t="shared" si="14"/>
        <v>#DIV/0!</v>
      </c>
    </row>
    <row r="328" spans="1:7" ht="12.75">
      <c r="A328" s="118" t="s">
        <v>542</v>
      </c>
      <c r="B328" s="30" t="s">
        <v>284</v>
      </c>
      <c r="C328" s="59"/>
      <c r="D328" s="18"/>
      <c r="E328" s="121">
        <f>E329</f>
        <v>270.672</v>
      </c>
      <c r="F328" s="121">
        <f>F329</f>
        <v>270.672</v>
      </c>
      <c r="G328" s="366">
        <f t="shared" si="14"/>
        <v>100</v>
      </c>
    </row>
    <row r="329" spans="1:7" ht="12.75">
      <c r="A329" s="118" t="s">
        <v>542</v>
      </c>
      <c r="B329" s="30" t="s">
        <v>284</v>
      </c>
      <c r="C329" s="59" t="s">
        <v>61</v>
      </c>
      <c r="D329" s="18"/>
      <c r="E329" s="121">
        <f>E330</f>
        <v>270.672</v>
      </c>
      <c r="F329" s="121">
        <f>F330</f>
        <v>270.672</v>
      </c>
      <c r="G329" s="366">
        <f t="shared" si="14"/>
        <v>100</v>
      </c>
    </row>
    <row r="330" spans="1:7" ht="12.75">
      <c r="A330" s="24" t="s">
        <v>66</v>
      </c>
      <c r="B330" s="30" t="s">
        <v>284</v>
      </c>
      <c r="C330" s="59" t="s">
        <v>61</v>
      </c>
      <c r="D330" s="18" t="s">
        <v>65</v>
      </c>
      <c r="E330" s="121">
        <f>'Пр.6 Р.П. ЦС. ВР'!E183</f>
        <v>270.672</v>
      </c>
      <c r="F330" s="121">
        <f>'Пр.6 Р.П. ЦС. ВР'!F183</f>
        <v>270.672</v>
      </c>
      <c r="G330" s="366">
        <f t="shared" si="14"/>
        <v>100</v>
      </c>
    </row>
    <row r="331" spans="1:7" ht="12.75" hidden="1">
      <c r="A331" s="24" t="s">
        <v>256</v>
      </c>
      <c r="B331" s="28" t="s">
        <v>255</v>
      </c>
      <c r="C331" s="1"/>
      <c r="D331" s="18"/>
      <c r="E331" s="121">
        <f>E332</f>
        <v>0</v>
      </c>
      <c r="F331" s="121">
        <f>F332</f>
        <v>0</v>
      </c>
      <c r="G331" s="366" t="e">
        <f t="shared" si="14"/>
        <v>#DIV/0!</v>
      </c>
    </row>
    <row r="332" spans="1:7" ht="12.75" hidden="1">
      <c r="A332" s="24" t="s">
        <v>38</v>
      </c>
      <c r="B332" s="28" t="s">
        <v>255</v>
      </c>
      <c r="C332" s="18" t="s">
        <v>61</v>
      </c>
      <c r="D332" s="18"/>
      <c r="E332" s="121">
        <f>E333</f>
        <v>0</v>
      </c>
      <c r="F332" s="121">
        <f>F333</f>
        <v>0</v>
      </c>
      <c r="G332" s="366" t="e">
        <f t="shared" si="14"/>
        <v>#DIV/0!</v>
      </c>
    </row>
    <row r="333" spans="1:7" ht="12.75" hidden="1">
      <c r="A333" s="107" t="s">
        <v>44</v>
      </c>
      <c r="B333" s="28" t="s">
        <v>255</v>
      </c>
      <c r="C333" s="18" t="s">
        <v>61</v>
      </c>
      <c r="D333" s="18" t="s">
        <v>42</v>
      </c>
      <c r="E333" s="121">
        <f>'Пр.6 Р.П. ЦС. ВР'!E71</f>
        <v>0</v>
      </c>
      <c r="F333" s="121">
        <f>'Пр.6 Р.П. ЦС. ВР'!F71</f>
        <v>0</v>
      </c>
      <c r="G333" s="366" t="e">
        <f aca="true" t="shared" si="15" ref="G333:G344">F333/E333*100</f>
        <v>#DIV/0!</v>
      </c>
    </row>
    <row r="334" spans="1:7" ht="12.75">
      <c r="A334" s="21" t="s">
        <v>251</v>
      </c>
      <c r="B334" s="1" t="s">
        <v>250</v>
      </c>
      <c r="C334" s="1"/>
      <c r="D334" s="18"/>
      <c r="E334" s="121">
        <f>E335</f>
        <v>600</v>
      </c>
      <c r="F334" s="121">
        <f>F335</f>
        <v>600</v>
      </c>
      <c r="G334" s="366">
        <f t="shared" si="15"/>
        <v>100</v>
      </c>
    </row>
    <row r="335" spans="1:7" ht="14.25" customHeight="1">
      <c r="A335" s="3" t="s">
        <v>312</v>
      </c>
      <c r="B335" s="1" t="s">
        <v>250</v>
      </c>
      <c r="C335" s="1" t="s">
        <v>313</v>
      </c>
      <c r="D335" s="18"/>
      <c r="E335" s="121">
        <f>E336</f>
        <v>600</v>
      </c>
      <c r="F335" s="121">
        <f>F336</f>
        <v>600</v>
      </c>
      <c r="G335" s="366">
        <f t="shared" si="15"/>
        <v>100</v>
      </c>
    </row>
    <row r="336" spans="1:7" ht="12.75">
      <c r="A336" s="38" t="s">
        <v>18</v>
      </c>
      <c r="B336" s="1" t="s">
        <v>250</v>
      </c>
      <c r="C336" s="1" t="s">
        <v>313</v>
      </c>
      <c r="D336" s="18" t="s">
        <v>17</v>
      </c>
      <c r="E336" s="121">
        <f>'Пр.6 Р.П. ЦС. ВР'!E262</f>
        <v>600</v>
      </c>
      <c r="F336" s="121">
        <f>'Пр.6 Р.П. ЦС. ВР'!F262</f>
        <v>600</v>
      </c>
      <c r="G336" s="366">
        <f t="shared" si="15"/>
        <v>100</v>
      </c>
    </row>
    <row r="337" spans="1:7" ht="12.75">
      <c r="A337" s="24" t="s">
        <v>253</v>
      </c>
      <c r="B337" s="35" t="s">
        <v>252</v>
      </c>
      <c r="C337" s="1"/>
      <c r="D337" s="18"/>
      <c r="E337" s="121">
        <f>E338</f>
        <v>464.095</v>
      </c>
      <c r="F337" s="121">
        <f>F338</f>
        <v>464.095</v>
      </c>
      <c r="G337" s="366">
        <f t="shared" si="15"/>
        <v>100</v>
      </c>
    </row>
    <row r="338" spans="1:7" ht="15" customHeight="1">
      <c r="A338" s="21" t="s">
        <v>303</v>
      </c>
      <c r="B338" s="35" t="s">
        <v>252</v>
      </c>
      <c r="C338" s="1" t="s">
        <v>316</v>
      </c>
      <c r="D338" s="18"/>
      <c r="E338" s="121">
        <f>E339</f>
        <v>464.095</v>
      </c>
      <c r="F338" s="121">
        <f>F339</f>
        <v>464.095</v>
      </c>
      <c r="G338" s="366">
        <f t="shared" si="15"/>
        <v>100</v>
      </c>
    </row>
    <row r="339" spans="1:7" ht="12.75">
      <c r="A339" s="44" t="s">
        <v>98</v>
      </c>
      <c r="B339" s="35" t="s">
        <v>252</v>
      </c>
      <c r="C339" s="36">
        <v>240</v>
      </c>
      <c r="D339" s="18" t="s">
        <v>99</v>
      </c>
      <c r="E339" s="121">
        <f>'Пр.6 Р.П. ЦС. ВР'!E128</f>
        <v>464.095</v>
      </c>
      <c r="F339" s="121">
        <f>'Пр.6 Р.П. ЦС. ВР'!F128</f>
        <v>464.095</v>
      </c>
      <c r="G339" s="366">
        <f t="shared" si="15"/>
        <v>100</v>
      </c>
    </row>
    <row r="340" spans="1:7" ht="12.75">
      <c r="A340" s="24" t="s">
        <v>529</v>
      </c>
      <c r="B340" s="1" t="s">
        <v>526</v>
      </c>
      <c r="C340" s="36"/>
      <c r="D340" s="18"/>
      <c r="E340" s="121">
        <f>E341</f>
        <v>16202.932</v>
      </c>
      <c r="F340" s="121">
        <f>F341</f>
        <v>12011.09</v>
      </c>
      <c r="G340" s="366">
        <f t="shared" si="15"/>
        <v>74.12911440966363</v>
      </c>
    </row>
    <row r="341" spans="1:7" ht="15.75" customHeight="1">
      <c r="A341" s="21" t="s">
        <v>303</v>
      </c>
      <c r="B341" s="1" t="s">
        <v>526</v>
      </c>
      <c r="C341" s="36">
        <v>240</v>
      </c>
      <c r="D341" s="18"/>
      <c r="E341" s="121">
        <f>E343+E342</f>
        <v>16202.932</v>
      </c>
      <c r="F341" s="121">
        <f>F343+F342</f>
        <v>12011.09</v>
      </c>
      <c r="G341" s="366">
        <f t="shared" si="15"/>
        <v>74.12911440966363</v>
      </c>
    </row>
    <row r="342" spans="1:7" ht="13.5" customHeight="1">
      <c r="A342" s="44" t="s">
        <v>540</v>
      </c>
      <c r="B342" s="1" t="s">
        <v>526</v>
      </c>
      <c r="C342" s="1" t="s">
        <v>316</v>
      </c>
      <c r="D342" s="18" t="s">
        <v>99</v>
      </c>
      <c r="E342" s="121">
        <f>'Пр.6 Р.П. ЦС. ВР'!E130</f>
        <v>10000</v>
      </c>
      <c r="F342" s="121">
        <f>'Пр.6 Р.П. ЦС. ВР'!F130</f>
        <v>7104.22</v>
      </c>
      <c r="G342" s="366">
        <f t="shared" si="15"/>
        <v>71.0422</v>
      </c>
    </row>
    <row r="343" spans="1:7" ht="12.75">
      <c r="A343" s="24" t="s">
        <v>66</v>
      </c>
      <c r="B343" s="1" t="s">
        <v>526</v>
      </c>
      <c r="C343" s="36">
        <v>240</v>
      </c>
      <c r="D343" s="18" t="s">
        <v>65</v>
      </c>
      <c r="E343" s="121">
        <f>'Пр.6 Р.П. ЦС. ВР'!E185</f>
        <v>6202.932</v>
      </c>
      <c r="F343" s="121">
        <f>'Пр.6 Р.П. ЦС. ВР'!F185</f>
        <v>4906.87</v>
      </c>
      <c r="G343" s="366">
        <f t="shared" si="15"/>
        <v>79.10565519660703</v>
      </c>
    </row>
    <row r="344" spans="1:7" ht="12.75">
      <c r="A344" s="422" t="s">
        <v>16</v>
      </c>
      <c r="B344" s="423"/>
      <c r="C344" s="423"/>
      <c r="D344" s="424"/>
      <c r="E344" s="126">
        <f>E12+E50+E71+E95+E130+E154+E175+E180+E198+E219+E185+E190</f>
        <v>133606.59294000003</v>
      </c>
      <c r="F344" s="126">
        <v>126338.87</v>
      </c>
      <c r="G344" s="366">
        <f t="shared" si="15"/>
        <v>94.56035605723153</v>
      </c>
    </row>
    <row r="345" spans="5:7" ht="12.75">
      <c r="E345" s="127"/>
      <c r="F345" s="127"/>
      <c r="G345" s="367"/>
    </row>
    <row r="346" spans="5:7" ht="12.75">
      <c r="E346" s="127"/>
      <c r="F346" s="127"/>
      <c r="G346" s="367"/>
    </row>
    <row r="349" spans="5:7" ht="12.75">
      <c r="E349" s="127"/>
      <c r="F349" s="127"/>
      <c r="G349" s="367"/>
    </row>
    <row r="355" spans="1:7" s="116" customFormat="1" ht="12.75">
      <c r="A355" s="87"/>
      <c r="B355" s="113"/>
      <c r="C355" s="114"/>
      <c r="D355" s="115"/>
      <c r="E355" s="129"/>
      <c r="F355" s="129"/>
      <c r="G355" s="368"/>
    </row>
  </sheetData>
  <sheetProtection/>
  <mergeCells count="7">
    <mergeCell ref="A344:D344"/>
    <mergeCell ref="E1:G1"/>
    <mergeCell ref="E2:G2"/>
    <mergeCell ref="B3:G3"/>
    <mergeCell ref="D4:G4"/>
    <mergeCell ref="E5:G5"/>
    <mergeCell ref="A8:G8"/>
  </mergeCells>
  <printOptions/>
  <pageMargins left="0.5118110236220472" right="0" top="0" bottom="0" header="0" footer="0"/>
  <pageSetup fitToHeight="50" fitToWidth="1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34"/>
  <sheetViews>
    <sheetView view="pageBreakPreview" zoomScale="83" zoomScaleNormal="85" zoomScaleSheetLayoutView="83" zoomScalePageLayoutView="75" workbookViewId="0" topLeftCell="A1">
      <selection activeCell="G5" sqref="G5"/>
    </sheetView>
  </sheetViews>
  <sheetFormatPr defaultColWidth="8.8515625" defaultRowHeight="15"/>
  <cols>
    <col min="1" max="1" width="64.7109375" style="51" customWidth="1"/>
    <col min="2" max="2" width="6.7109375" style="9" customWidth="1"/>
    <col min="3" max="3" width="9.8515625" style="9" customWidth="1"/>
    <col min="4" max="4" width="6.7109375" style="9" customWidth="1"/>
    <col min="5" max="5" width="12.7109375" style="148" customWidth="1"/>
    <col min="6" max="6" width="13.28125" style="148" customWidth="1"/>
    <col min="7" max="7" width="7.28125" style="341" customWidth="1"/>
    <col min="8" max="8" width="0" style="372" hidden="1" customWidth="1"/>
    <col min="9" max="16384" width="8.8515625" style="8" customWidth="1"/>
  </cols>
  <sheetData>
    <row r="1" spans="5:7" ht="12.75">
      <c r="E1" s="145"/>
      <c r="F1" s="145"/>
      <c r="G1" s="338" t="s">
        <v>58</v>
      </c>
    </row>
    <row r="2" spans="5:7" ht="12.75">
      <c r="E2" s="145"/>
      <c r="F2" s="145"/>
      <c r="G2" s="338" t="s">
        <v>57</v>
      </c>
    </row>
    <row r="3" spans="5:7" ht="12.75">
      <c r="E3" s="146"/>
      <c r="F3" s="146"/>
      <c r="G3" s="339" t="s">
        <v>121</v>
      </c>
    </row>
    <row r="4" spans="5:7" ht="12.75">
      <c r="E4" s="146"/>
      <c r="F4" s="146"/>
      <c r="G4" s="339" t="s">
        <v>572</v>
      </c>
    </row>
    <row r="5" spans="5:7" ht="12.75">
      <c r="E5" s="145"/>
      <c r="F5" s="145"/>
      <c r="G5" s="338" t="s">
        <v>560</v>
      </c>
    </row>
    <row r="6" spans="5:7" ht="12.75">
      <c r="E6" s="147"/>
      <c r="F6" s="147"/>
      <c r="G6" s="340"/>
    </row>
    <row r="7" spans="1:8" s="86" customFormat="1" ht="47.25" customHeight="1">
      <c r="A7" s="432" t="s">
        <v>569</v>
      </c>
      <c r="B7" s="432"/>
      <c r="C7" s="432"/>
      <c r="D7" s="432"/>
      <c r="E7" s="432"/>
      <c r="F7" s="432"/>
      <c r="G7" s="432"/>
      <c r="H7" s="373"/>
    </row>
    <row r="8" ht="22.5" customHeight="1">
      <c r="F8" s="148" t="s">
        <v>554</v>
      </c>
    </row>
    <row r="9" spans="1:8" s="12" customFormat="1" ht="22.5" customHeight="1">
      <c r="A9" s="10" t="s">
        <v>56</v>
      </c>
      <c r="B9" s="10" t="s">
        <v>53</v>
      </c>
      <c r="C9" s="11" t="s">
        <v>55</v>
      </c>
      <c r="D9" s="11" t="s">
        <v>54</v>
      </c>
      <c r="E9" s="149" t="s">
        <v>552</v>
      </c>
      <c r="F9" s="149" t="s">
        <v>553</v>
      </c>
      <c r="G9" s="342" t="s">
        <v>557</v>
      </c>
      <c r="H9" s="374"/>
    </row>
    <row r="10" spans="1:8" s="9" customFormat="1" ht="12.75">
      <c r="A10" s="13"/>
      <c r="B10" s="10"/>
      <c r="C10" s="11"/>
      <c r="D10" s="11"/>
      <c r="E10" s="149"/>
      <c r="F10" s="149"/>
      <c r="G10" s="342"/>
      <c r="H10" s="375"/>
    </row>
    <row r="11" spans="1:8" s="76" customFormat="1" ht="28.5">
      <c r="A11" s="63" t="s">
        <v>83</v>
      </c>
      <c r="B11" s="65" t="s">
        <v>82</v>
      </c>
      <c r="C11" s="64"/>
      <c r="D11" s="64"/>
      <c r="E11" s="150">
        <f>E12+E17+E39+E49+E54+E44</f>
        <v>23359.38017</v>
      </c>
      <c r="F11" s="150">
        <f>F12+F17+F39+F49+F54+F44</f>
        <v>22747.504610000004</v>
      </c>
      <c r="G11" s="343">
        <f aca="true" t="shared" si="0" ref="G11:G74">F11/E11*100</f>
        <v>97.3806001891017</v>
      </c>
      <c r="H11" s="394"/>
    </row>
    <row r="12" spans="1:8" s="76" customFormat="1" ht="42.75">
      <c r="A12" s="69" t="s">
        <v>46</v>
      </c>
      <c r="B12" s="68" t="s">
        <v>45</v>
      </c>
      <c r="C12" s="84"/>
      <c r="D12" s="84"/>
      <c r="E12" s="151">
        <f aca="true" t="shared" si="1" ref="E12:F15">E13</f>
        <v>78.73393</v>
      </c>
      <c r="F12" s="151">
        <f t="shared" si="1"/>
        <v>78.73393</v>
      </c>
      <c r="G12" s="343">
        <f t="shared" si="0"/>
        <v>100</v>
      </c>
      <c r="H12" s="376">
        <v>78.33</v>
      </c>
    </row>
    <row r="13" spans="1:8" s="19" customFormat="1" ht="25.5">
      <c r="A13" s="13" t="s">
        <v>153</v>
      </c>
      <c r="B13" s="33" t="s">
        <v>45</v>
      </c>
      <c r="C13" s="32" t="s">
        <v>52</v>
      </c>
      <c r="D13" s="32"/>
      <c r="E13" s="152">
        <f t="shared" si="1"/>
        <v>78.73393</v>
      </c>
      <c r="F13" s="152">
        <f t="shared" si="1"/>
        <v>78.73393</v>
      </c>
      <c r="G13" s="343">
        <f t="shared" si="0"/>
        <v>100</v>
      </c>
      <c r="H13" s="377"/>
    </row>
    <row r="14" spans="1:8" s="19" customFormat="1" ht="25.5">
      <c r="A14" s="15" t="s">
        <v>48</v>
      </c>
      <c r="B14" s="33" t="s">
        <v>45</v>
      </c>
      <c r="C14" s="11" t="s">
        <v>47</v>
      </c>
      <c r="D14" s="11"/>
      <c r="E14" s="149">
        <f t="shared" si="1"/>
        <v>78.73393</v>
      </c>
      <c r="F14" s="149">
        <f t="shared" si="1"/>
        <v>78.73393</v>
      </c>
      <c r="G14" s="343">
        <f t="shared" si="0"/>
        <v>100</v>
      </c>
      <c r="H14" s="377"/>
    </row>
    <row r="15" spans="1:7" ht="38.25">
      <c r="A15" s="31" t="s">
        <v>30</v>
      </c>
      <c r="B15" s="29" t="s">
        <v>45</v>
      </c>
      <c r="C15" s="28" t="s">
        <v>40</v>
      </c>
      <c r="D15" s="28"/>
      <c r="E15" s="153">
        <f t="shared" si="1"/>
        <v>78.73393</v>
      </c>
      <c r="F15" s="153">
        <f t="shared" si="1"/>
        <v>78.73393</v>
      </c>
      <c r="G15" s="343">
        <f t="shared" si="0"/>
        <v>100</v>
      </c>
    </row>
    <row r="16" spans="1:7" ht="28.5" customHeight="1">
      <c r="A16" s="21" t="s">
        <v>303</v>
      </c>
      <c r="B16" s="29" t="s">
        <v>45</v>
      </c>
      <c r="C16" s="28" t="s">
        <v>40</v>
      </c>
      <c r="D16" s="28">
        <v>240</v>
      </c>
      <c r="E16" s="153">
        <f>100-21.26607</f>
        <v>78.73393</v>
      </c>
      <c r="F16" s="153">
        <f>100-21.26607</f>
        <v>78.73393</v>
      </c>
      <c r="G16" s="343">
        <f t="shared" si="0"/>
        <v>100</v>
      </c>
    </row>
    <row r="17" spans="1:8" s="85" customFormat="1" ht="57">
      <c r="A17" s="63" t="s">
        <v>37</v>
      </c>
      <c r="B17" s="65" t="s">
        <v>36</v>
      </c>
      <c r="C17" s="64"/>
      <c r="D17" s="64"/>
      <c r="E17" s="150">
        <f>E18+E26</f>
        <v>11794.90624</v>
      </c>
      <c r="F17" s="150">
        <f>F18+F26</f>
        <v>11794.90068</v>
      </c>
      <c r="G17" s="343">
        <f t="shared" si="0"/>
        <v>99.99995286100723</v>
      </c>
      <c r="H17" s="378"/>
    </row>
    <row r="18" spans="1:8" s="19" customFormat="1" ht="25.5" hidden="1">
      <c r="A18" s="13" t="s">
        <v>127</v>
      </c>
      <c r="B18" s="10" t="s">
        <v>36</v>
      </c>
      <c r="C18" s="11" t="s">
        <v>2</v>
      </c>
      <c r="D18" s="11"/>
      <c r="E18" s="149">
        <f>E19</f>
        <v>0</v>
      </c>
      <c r="F18" s="149">
        <f>F19</f>
        <v>0</v>
      </c>
      <c r="G18" s="343" t="e">
        <f t="shared" si="0"/>
        <v>#DIV/0!</v>
      </c>
      <c r="H18" s="377"/>
    </row>
    <row r="19" spans="1:8" s="16" customFormat="1" ht="51" hidden="1">
      <c r="A19" s="15" t="s">
        <v>128</v>
      </c>
      <c r="B19" s="10" t="s">
        <v>36</v>
      </c>
      <c r="C19" s="11" t="s">
        <v>9</v>
      </c>
      <c r="D19" s="11"/>
      <c r="E19" s="149">
        <f>E20+E23</f>
        <v>0</v>
      </c>
      <c r="F19" s="149">
        <f>F20+F23</f>
        <v>0</v>
      </c>
      <c r="G19" s="343" t="e">
        <f t="shared" si="0"/>
        <v>#DIV/0!</v>
      </c>
      <c r="H19" s="379"/>
    </row>
    <row r="20" spans="1:8" s="19" customFormat="1" ht="81.75" customHeight="1" hidden="1">
      <c r="A20" s="21" t="s">
        <v>129</v>
      </c>
      <c r="B20" s="18" t="s">
        <v>36</v>
      </c>
      <c r="C20" s="1" t="s">
        <v>130</v>
      </c>
      <c r="D20" s="1"/>
      <c r="E20" s="154">
        <f>E21+E22</f>
        <v>0</v>
      </c>
      <c r="F20" s="154">
        <f>F21+F22</f>
        <v>0</v>
      </c>
      <c r="G20" s="343" t="e">
        <f t="shared" si="0"/>
        <v>#DIV/0!</v>
      </c>
      <c r="H20" s="377"/>
    </row>
    <row r="21" spans="1:8" s="19" customFormat="1" ht="18.75" customHeight="1" hidden="1">
      <c r="A21" s="31" t="s">
        <v>304</v>
      </c>
      <c r="B21" s="18" t="s">
        <v>36</v>
      </c>
      <c r="C21" s="1" t="s">
        <v>130</v>
      </c>
      <c r="D21" s="1" t="s">
        <v>305</v>
      </c>
      <c r="E21" s="154"/>
      <c r="F21" s="154"/>
      <c r="G21" s="343" t="e">
        <f t="shared" si="0"/>
        <v>#DIV/0!</v>
      </c>
      <c r="H21" s="377"/>
    </row>
    <row r="22" spans="1:8" s="19" customFormat="1" ht="28.5" customHeight="1" hidden="1">
      <c r="A22" s="21" t="s">
        <v>303</v>
      </c>
      <c r="B22" s="18" t="s">
        <v>36</v>
      </c>
      <c r="C22" s="1" t="s">
        <v>130</v>
      </c>
      <c r="D22" s="28">
        <v>240</v>
      </c>
      <c r="E22" s="154"/>
      <c r="F22" s="154"/>
      <c r="G22" s="343" t="e">
        <f t="shared" si="0"/>
        <v>#DIV/0!</v>
      </c>
      <c r="H22" s="377"/>
    </row>
    <row r="23" spans="1:8" s="19" customFormat="1" ht="78.75" customHeight="1" hidden="1">
      <c r="A23" s="21" t="s">
        <v>132</v>
      </c>
      <c r="B23" s="18" t="s">
        <v>36</v>
      </c>
      <c r="C23" s="1" t="s">
        <v>131</v>
      </c>
      <c r="D23" s="1"/>
      <c r="E23" s="154">
        <f>E24+E25</f>
        <v>0</v>
      </c>
      <c r="F23" s="154">
        <f>F24+F25</f>
        <v>0</v>
      </c>
      <c r="G23" s="343" t="e">
        <f t="shared" si="0"/>
        <v>#DIV/0!</v>
      </c>
      <c r="H23" s="377"/>
    </row>
    <row r="24" spans="1:8" s="19" customFormat="1" ht="12.75" hidden="1">
      <c r="A24" s="31" t="s">
        <v>304</v>
      </c>
      <c r="B24" s="18" t="s">
        <v>36</v>
      </c>
      <c r="C24" s="1" t="s">
        <v>131</v>
      </c>
      <c r="D24" s="1" t="s">
        <v>305</v>
      </c>
      <c r="E24" s="154"/>
      <c r="F24" s="154"/>
      <c r="G24" s="343" t="e">
        <f t="shared" si="0"/>
        <v>#DIV/0!</v>
      </c>
      <c r="H24" s="377"/>
    </row>
    <row r="25" spans="1:8" s="19" customFormat="1" ht="28.5" customHeight="1" hidden="1">
      <c r="A25" s="21" t="s">
        <v>303</v>
      </c>
      <c r="B25" s="18" t="s">
        <v>36</v>
      </c>
      <c r="C25" s="1" t="s">
        <v>131</v>
      </c>
      <c r="D25" s="28">
        <v>240</v>
      </c>
      <c r="E25" s="154"/>
      <c r="F25" s="154"/>
      <c r="G25" s="343" t="e">
        <f t="shared" si="0"/>
        <v>#DIV/0!</v>
      </c>
      <c r="H25" s="377"/>
    </row>
    <row r="26" spans="1:7" ht="25.5">
      <c r="A26" s="13" t="s">
        <v>153</v>
      </c>
      <c r="B26" s="10" t="s">
        <v>36</v>
      </c>
      <c r="C26" s="32" t="s">
        <v>52</v>
      </c>
      <c r="D26" s="32"/>
      <c r="E26" s="152">
        <f>E27+E30</f>
        <v>11794.90624</v>
      </c>
      <c r="F26" s="152">
        <f>F27+F30</f>
        <v>11794.90068</v>
      </c>
      <c r="G26" s="343">
        <f t="shared" si="0"/>
        <v>99.99995286100723</v>
      </c>
    </row>
    <row r="27" spans="1:7" ht="26.25" customHeight="1">
      <c r="A27" s="15" t="s">
        <v>51</v>
      </c>
      <c r="B27" s="10" t="s">
        <v>36</v>
      </c>
      <c r="C27" s="11" t="s">
        <v>50</v>
      </c>
      <c r="D27" s="11"/>
      <c r="E27" s="149">
        <f>E28</f>
        <v>1454.91338</v>
      </c>
      <c r="F27" s="149">
        <f>F28</f>
        <v>1454.9099999999999</v>
      </c>
      <c r="G27" s="343">
        <f t="shared" si="0"/>
        <v>99.99976768376409</v>
      </c>
    </row>
    <row r="28" spans="1:7" ht="39" customHeight="1">
      <c r="A28" s="24" t="s">
        <v>28</v>
      </c>
      <c r="B28" s="18" t="s">
        <v>36</v>
      </c>
      <c r="C28" s="28" t="s">
        <v>49</v>
      </c>
      <c r="D28" s="28"/>
      <c r="E28" s="153">
        <f>E29</f>
        <v>1454.91338</v>
      </c>
      <c r="F28" s="153">
        <f>F29</f>
        <v>1454.9099999999999</v>
      </c>
      <c r="G28" s="343">
        <f t="shared" si="0"/>
        <v>99.99976768376409</v>
      </c>
    </row>
    <row r="29" spans="1:7" ht="25.5">
      <c r="A29" s="31" t="s">
        <v>304</v>
      </c>
      <c r="B29" s="18" t="s">
        <v>36</v>
      </c>
      <c r="C29" s="28" t="s">
        <v>49</v>
      </c>
      <c r="D29" s="28">
        <v>120</v>
      </c>
      <c r="E29" s="153">
        <f>1260+370+370-200-345.08662</f>
        <v>1454.91338</v>
      </c>
      <c r="F29" s="153">
        <f>1161.76+293.15</f>
        <v>1454.9099999999999</v>
      </c>
      <c r="G29" s="343">
        <f t="shared" si="0"/>
        <v>99.99976768376409</v>
      </c>
    </row>
    <row r="30" spans="1:7" ht="25.5">
      <c r="A30" s="15" t="s">
        <v>48</v>
      </c>
      <c r="B30" s="10" t="s">
        <v>36</v>
      </c>
      <c r="C30" s="11" t="s">
        <v>47</v>
      </c>
      <c r="D30" s="11"/>
      <c r="E30" s="149">
        <f>E31+E33</f>
        <v>10339.99286</v>
      </c>
      <c r="F30" s="149">
        <f>F31+F33</f>
        <v>10339.99068</v>
      </c>
      <c r="G30" s="343">
        <f t="shared" si="0"/>
        <v>99.9999789168133</v>
      </c>
    </row>
    <row r="31" spans="1:7" ht="38.25">
      <c r="A31" s="24" t="s">
        <v>29</v>
      </c>
      <c r="B31" s="18" t="s">
        <v>36</v>
      </c>
      <c r="C31" s="28" t="s">
        <v>43</v>
      </c>
      <c r="D31" s="28"/>
      <c r="E31" s="153">
        <f>E32</f>
        <v>7011.70649</v>
      </c>
      <c r="F31" s="153">
        <f>F32</f>
        <v>7011.71</v>
      </c>
      <c r="G31" s="343">
        <f t="shared" si="0"/>
        <v>100.00005005914045</v>
      </c>
    </row>
    <row r="32" spans="1:7" ht="25.5">
      <c r="A32" s="31" t="s">
        <v>304</v>
      </c>
      <c r="B32" s="18" t="s">
        <v>36</v>
      </c>
      <c r="C32" s="28" t="s">
        <v>43</v>
      </c>
      <c r="D32" s="28">
        <v>120</v>
      </c>
      <c r="E32" s="153">
        <v>7011.70649</v>
      </c>
      <c r="F32" s="153">
        <f>5430.05+1581.66</f>
        <v>7011.71</v>
      </c>
      <c r="G32" s="343">
        <f t="shared" si="0"/>
        <v>100.00005005914045</v>
      </c>
    </row>
    <row r="33" spans="1:7" ht="26.25" customHeight="1">
      <c r="A33" s="31" t="s">
        <v>30</v>
      </c>
      <c r="B33" s="18" t="s">
        <v>36</v>
      </c>
      <c r="C33" s="28" t="s">
        <v>40</v>
      </c>
      <c r="D33" s="28"/>
      <c r="E33" s="153">
        <f>E34+E37+E38+E35+E36</f>
        <v>3328.2863700000003</v>
      </c>
      <c r="F33" s="153">
        <f>F34+F37+F38+F35+F36</f>
        <v>3328.2806800000003</v>
      </c>
      <c r="G33" s="343">
        <f t="shared" si="0"/>
        <v>99.99982904115309</v>
      </c>
    </row>
    <row r="34" spans="1:7" ht="12.75" hidden="1">
      <c r="A34" s="31" t="s">
        <v>304</v>
      </c>
      <c r="B34" s="18" t="s">
        <v>36</v>
      </c>
      <c r="C34" s="28" t="s">
        <v>40</v>
      </c>
      <c r="D34" s="28">
        <v>120</v>
      </c>
      <c r="E34" s="153"/>
      <c r="F34" s="153"/>
      <c r="G34" s="343" t="e">
        <f t="shared" si="0"/>
        <v>#DIV/0!</v>
      </c>
    </row>
    <row r="35" spans="1:7" ht="25.5" hidden="1">
      <c r="A35" s="25" t="s">
        <v>39</v>
      </c>
      <c r="B35" s="18" t="s">
        <v>36</v>
      </c>
      <c r="C35" s="28" t="s">
        <v>40</v>
      </c>
      <c r="D35" s="28">
        <v>242</v>
      </c>
      <c r="E35" s="153">
        <v>0</v>
      </c>
      <c r="F35" s="153">
        <v>0</v>
      </c>
      <c r="G35" s="343" t="e">
        <f t="shared" si="0"/>
        <v>#DIV/0!</v>
      </c>
    </row>
    <row r="36" spans="1:7" ht="30" customHeight="1">
      <c r="A36" s="21" t="s">
        <v>303</v>
      </c>
      <c r="B36" s="18" t="s">
        <v>36</v>
      </c>
      <c r="C36" s="28" t="s">
        <v>40</v>
      </c>
      <c r="D36" s="28">
        <v>120</v>
      </c>
      <c r="E36" s="153">
        <v>2.8</v>
      </c>
      <c r="F36" s="153">
        <v>2.8</v>
      </c>
      <c r="G36" s="343">
        <f t="shared" si="0"/>
        <v>100</v>
      </c>
    </row>
    <row r="37" spans="1:7" ht="30" customHeight="1">
      <c r="A37" s="21" t="s">
        <v>303</v>
      </c>
      <c r="B37" s="18" t="s">
        <v>36</v>
      </c>
      <c r="C37" s="28" t="s">
        <v>40</v>
      </c>
      <c r="D37" s="28">
        <v>240</v>
      </c>
      <c r="E37" s="153">
        <f>224.67254+6.437+557.82779+2457.92356+1.7+20.43+42.7648</f>
        <v>3311.75569</v>
      </c>
      <c r="F37" s="153">
        <f>224.67+6.44+557.83+2457.92+1.7+20.43+42.76</f>
        <v>3311.75</v>
      </c>
      <c r="G37" s="343">
        <f t="shared" si="0"/>
        <v>99.99982818780934</v>
      </c>
    </row>
    <row r="38" spans="1:7" ht="15.75" customHeight="1">
      <c r="A38" s="130" t="s">
        <v>307</v>
      </c>
      <c r="B38" s="18" t="s">
        <v>36</v>
      </c>
      <c r="C38" s="28" t="s">
        <v>40</v>
      </c>
      <c r="D38" s="28">
        <v>850</v>
      </c>
      <c r="E38" s="153">
        <f>70-50-6.26932</f>
        <v>13.73068</v>
      </c>
      <c r="F38" s="153">
        <f>70-50-6.26932</f>
        <v>13.73068</v>
      </c>
      <c r="G38" s="343">
        <f t="shared" si="0"/>
        <v>100</v>
      </c>
    </row>
    <row r="39" spans="1:8" s="80" customFormat="1" ht="18.75" customHeight="1" hidden="1">
      <c r="A39" s="69" t="s">
        <v>133</v>
      </c>
      <c r="B39" s="66" t="s">
        <v>126</v>
      </c>
      <c r="C39" s="81"/>
      <c r="D39" s="81"/>
      <c r="E39" s="150">
        <f aca="true" t="shared" si="2" ref="E39:F42">E40</f>
        <v>0</v>
      </c>
      <c r="F39" s="150">
        <f t="shared" si="2"/>
        <v>0</v>
      </c>
      <c r="G39" s="343" t="e">
        <f t="shared" si="0"/>
        <v>#DIV/0!</v>
      </c>
      <c r="H39" s="380"/>
    </row>
    <row r="40" spans="1:8" s="56" customFormat="1" ht="12.75" hidden="1">
      <c r="A40" s="13" t="s">
        <v>111</v>
      </c>
      <c r="B40" s="58" t="s">
        <v>126</v>
      </c>
      <c r="C40" s="32" t="s">
        <v>0</v>
      </c>
      <c r="D40" s="32"/>
      <c r="E40" s="152">
        <f t="shared" si="2"/>
        <v>0</v>
      </c>
      <c r="F40" s="152">
        <f t="shared" si="2"/>
        <v>0</v>
      </c>
      <c r="G40" s="343" t="e">
        <f t="shared" si="0"/>
        <v>#DIV/0!</v>
      </c>
      <c r="H40" s="381"/>
    </row>
    <row r="41" spans="1:8" s="56" customFormat="1" ht="12.75" hidden="1">
      <c r="A41" s="13" t="s">
        <v>153</v>
      </c>
      <c r="B41" s="58" t="s">
        <v>126</v>
      </c>
      <c r="C41" s="11" t="s">
        <v>134</v>
      </c>
      <c r="D41" s="11"/>
      <c r="E41" s="149">
        <f t="shared" si="2"/>
        <v>0</v>
      </c>
      <c r="F41" s="149">
        <f t="shared" si="2"/>
        <v>0</v>
      </c>
      <c r="G41" s="343" t="e">
        <f t="shared" si="0"/>
        <v>#DIV/0!</v>
      </c>
      <c r="H41" s="381"/>
    </row>
    <row r="42" spans="1:8" s="19" customFormat="1" ht="25.5" hidden="1">
      <c r="A42" s="31" t="s">
        <v>30</v>
      </c>
      <c r="B42" s="59" t="s">
        <v>126</v>
      </c>
      <c r="C42" s="28" t="s">
        <v>152</v>
      </c>
      <c r="D42" s="28"/>
      <c r="E42" s="153">
        <f t="shared" si="2"/>
        <v>0</v>
      </c>
      <c r="F42" s="153">
        <f t="shared" si="2"/>
        <v>0</v>
      </c>
      <c r="G42" s="343" t="e">
        <f t="shared" si="0"/>
        <v>#DIV/0!</v>
      </c>
      <c r="H42" s="377"/>
    </row>
    <row r="43" spans="1:8" s="19" customFormat="1" ht="25.5" hidden="1">
      <c r="A43" s="31" t="s">
        <v>38</v>
      </c>
      <c r="B43" s="59" t="s">
        <v>126</v>
      </c>
      <c r="C43" s="28" t="s">
        <v>152</v>
      </c>
      <c r="D43" s="28">
        <v>244</v>
      </c>
      <c r="E43" s="153"/>
      <c r="F43" s="153"/>
      <c r="G43" s="343" t="e">
        <f t="shared" si="0"/>
        <v>#DIV/0!</v>
      </c>
      <c r="H43" s="377"/>
    </row>
    <row r="44" spans="1:8" s="80" customFormat="1" ht="30.75" customHeight="1">
      <c r="A44" s="135" t="s">
        <v>325</v>
      </c>
      <c r="B44" s="65" t="s">
        <v>324</v>
      </c>
      <c r="C44" s="70"/>
      <c r="D44" s="73"/>
      <c r="E44" s="155">
        <f aca="true" t="shared" si="3" ref="E44:F47">E45</f>
        <v>50.5</v>
      </c>
      <c r="F44" s="155">
        <f t="shared" si="3"/>
        <v>50.5</v>
      </c>
      <c r="G44" s="343">
        <f t="shared" si="0"/>
        <v>100</v>
      </c>
      <c r="H44" s="380"/>
    </row>
    <row r="45" spans="1:8" s="16" customFormat="1" ht="25.5">
      <c r="A45" s="13" t="s">
        <v>111</v>
      </c>
      <c r="B45" s="10" t="s">
        <v>324</v>
      </c>
      <c r="C45" s="53" t="s">
        <v>52</v>
      </c>
      <c r="D45" s="53"/>
      <c r="E45" s="149">
        <f t="shared" si="3"/>
        <v>50.5</v>
      </c>
      <c r="F45" s="149">
        <f t="shared" si="3"/>
        <v>50.5</v>
      </c>
      <c r="G45" s="343">
        <f t="shared" si="0"/>
        <v>100</v>
      </c>
      <c r="H45" s="379"/>
    </row>
    <row r="46" spans="1:8" s="16" customFormat="1" ht="25.5">
      <c r="A46" s="15" t="s">
        <v>78</v>
      </c>
      <c r="B46" s="10" t="s">
        <v>324</v>
      </c>
      <c r="C46" s="54" t="s">
        <v>47</v>
      </c>
      <c r="D46" s="54"/>
      <c r="E46" s="149">
        <f t="shared" si="3"/>
        <v>50.5</v>
      </c>
      <c r="F46" s="149">
        <f t="shared" si="3"/>
        <v>50.5</v>
      </c>
      <c r="G46" s="343">
        <f t="shared" si="0"/>
        <v>100</v>
      </c>
      <c r="H46" s="379"/>
    </row>
    <row r="47" spans="1:8" s="19" customFormat="1" ht="25.5">
      <c r="A47" s="24" t="s">
        <v>326</v>
      </c>
      <c r="B47" s="18" t="s">
        <v>324</v>
      </c>
      <c r="C47" s="28" t="s">
        <v>323</v>
      </c>
      <c r="D47" s="28"/>
      <c r="E47" s="153">
        <f t="shared" si="3"/>
        <v>50.5</v>
      </c>
      <c r="F47" s="153">
        <f t="shared" si="3"/>
        <v>50.5</v>
      </c>
      <c r="G47" s="343">
        <f t="shared" si="0"/>
        <v>100</v>
      </c>
      <c r="H47" s="377"/>
    </row>
    <row r="48" spans="1:8" s="19" customFormat="1" ht="15" customHeight="1">
      <c r="A48" s="130" t="s">
        <v>327</v>
      </c>
      <c r="B48" s="18" t="s">
        <v>324</v>
      </c>
      <c r="C48" s="28" t="s">
        <v>323</v>
      </c>
      <c r="D48" s="28">
        <v>540</v>
      </c>
      <c r="E48" s="153">
        <v>50.5</v>
      </c>
      <c r="F48" s="153">
        <v>50.5</v>
      </c>
      <c r="G48" s="343">
        <f t="shared" si="0"/>
        <v>100</v>
      </c>
      <c r="H48" s="377"/>
    </row>
    <row r="49" spans="1:8" s="80" customFormat="1" ht="28.5">
      <c r="A49" s="82" t="s">
        <v>118</v>
      </c>
      <c r="B49" s="65" t="s">
        <v>77</v>
      </c>
      <c r="C49" s="70"/>
      <c r="D49" s="73"/>
      <c r="E49" s="155">
        <f aca="true" t="shared" si="4" ref="E49:F52">E50</f>
        <v>400</v>
      </c>
      <c r="F49" s="155">
        <f t="shared" si="4"/>
        <v>0</v>
      </c>
      <c r="G49" s="343">
        <f t="shared" si="0"/>
        <v>0</v>
      </c>
      <c r="H49" s="380"/>
    </row>
    <row r="50" spans="1:8" s="16" customFormat="1" ht="25.5">
      <c r="A50" s="13" t="s">
        <v>111</v>
      </c>
      <c r="B50" s="10" t="s">
        <v>77</v>
      </c>
      <c r="C50" s="53" t="s">
        <v>0</v>
      </c>
      <c r="D50" s="53"/>
      <c r="E50" s="149">
        <f t="shared" si="4"/>
        <v>400</v>
      </c>
      <c r="F50" s="149">
        <f t="shared" si="4"/>
        <v>0</v>
      </c>
      <c r="G50" s="343">
        <f t="shared" si="0"/>
        <v>0</v>
      </c>
      <c r="H50" s="379"/>
    </row>
    <row r="51" spans="1:8" s="16" customFormat="1" ht="25.5">
      <c r="A51" s="15" t="s">
        <v>78</v>
      </c>
      <c r="B51" s="10" t="s">
        <v>77</v>
      </c>
      <c r="C51" s="54" t="s">
        <v>74</v>
      </c>
      <c r="D51" s="54"/>
      <c r="E51" s="149">
        <f t="shared" si="4"/>
        <v>400</v>
      </c>
      <c r="F51" s="149">
        <f t="shared" si="4"/>
        <v>0</v>
      </c>
      <c r="G51" s="343">
        <f t="shared" si="0"/>
        <v>0</v>
      </c>
      <c r="H51" s="379"/>
    </row>
    <row r="52" spans="1:8" s="19" customFormat="1" ht="38.25">
      <c r="A52" s="24" t="s">
        <v>154</v>
      </c>
      <c r="B52" s="18" t="s">
        <v>77</v>
      </c>
      <c r="C52" s="28" t="s">
        <v>76</v>
      </c>
      <c r="D52" s="28"/>
      <c r="E52" s="153">
        <f t="shared" si="4"/>
        <v>400</v>
      </c>
      <c r="F52" s="153">
        <f t="shared" si="4"/>
        <v>0</v>
      </c>
      <c r="G52" s="343">
        <f t="shared" si="0"/>
        <v>0</v>
      </c>
      <c r="H52" s="377"/>
    </row>
    <row r="53" spans="1:8" s="19" customFormat="1" ht="25.5">
      <c r="A53" s="24" t="s">
        <v>113</v>
      </c>
      <c r="B53" s="18" t="s">
        <v>77</v>
      </c>
      <c r="C53" s="28" t="s">
        <v>76</v>
      </c>
      <c r="D53" s="28">
        <v>870</v>
      </c>
      <c r="E53" s="153">
        <v>400</v>
      </c>
      <c r="F53" s="153">
        <v>0</v>
      </c>
      <c r="G53" s="343">
        <f t="shared" si="0"/>
        <v>0</v>
      </c>
      <c r="H53" s="377"/>
    </row>
    <row r="54" spans="1:8" s="85" customFormat="1" ht="28.5">
      <c r="A54" s="63" t="s">
        <v>44</v>
      </c>
      <c r="B54" s="65" t="s">
        <v>42</v>
      </c>
      <c r="C54" s="64"/>
      <c r="D54" s="64"/>
      <c r="E54" s="150">
        <f>E55+E72</f>
        <v>11035.24</v>
      </c>
      <c r="F54" s="150">
        <f>F55+F72</f>
        <v>10823.37</v>
      </c>
      <c r="G54" s="343">
        <f t="shared" si="0"/>
        <v>98.08005988089067</v>
      </c>
      <c r="H54" s="378"/>
    </row>
    <row r="55" spans="1:8" s="52" customFormat="1" ht="25.5">
      <c r="A55" s="13" t="s">
        <v>111</v>
      </c>
      <c r="B55" s="58" t="s">
        <v>42</v>
      </c>
      <c r="C55" s="32" t="s">
        <v>0</v>
      </c>
      <c r="D55" s="32"/>
      <c r="E55" s="152">
        <f>E56</f>
        <v>10020.05</v>
      </c>
      <c r="F55" s="152">
        <f>F56</f>
        <v>9808.18</v>
      </c>
      <c r="G55" s="343">
        <f t="shared" si="0"/>
        <v>97.8855394933159</v>
      </c>
      <c r="H55" s="382"/>
    </row>
    <row r="56" spans="1:8" s="52" customFormat="1" ht="25.5">
      <c r="A56" s="15" t="s">
        <v>78</v>
      </c>
      <c r="B56" s="58" t="s">
        <v>42</v>
      </c>
      <c r="C56" s="11" t="s">
        <v>74</v>
      </c>
      <c r="D56" s="11"/>
      <c r="E56" s="149">
        <f>E57+E62+E64+E66+E68+E70</f>
        <v>10020.05</v>
      </c>
      <c r="F56" s="149">
        <f>F57+F62+F64+F66+F68+F70</f>
        <v>9808.18</v>
      </c>
      <c r="G56" s="343">
        <f t="shared" si="0"/>
        <v>97.8855394933159</v>
      </c>
      <c r="H56" s="382"/>
    </row>
    <row r="57" spans="1:8" s="9" customFormat="1" ht="38.25">
      <c r="A57" s="38" t="s">
        <v>114</v>
      </c>
      <c r="B57" s="29" t="s">
        <v>42</v>
      </c>
      <c r="C57" s="28" t="s">
        <v>75</v>
      </c>
      <c r="D57" s="28"/>
      <c r="E57" s="153">
        <f>E58+E60+E61+E59</f>
        <v>8630.849999999999</v>
      </c>
      <c r="F57" s="153">
        <f>F58+F60+F61+F59</f>
        <v>8625.19</v>
      </c>
      <c r="G57" s="343">
        <f t="shared" si="0"/>
        <v>99.93442129106637</v>
      </c>
      <c r="H57" s="375"/>
    </row>
    <row r="58" spans="1:8" s="57" customFormat="1" ht="18" customHeight="1">
      <c r="A58" s="130" t="s">
        <v>306</v>
      </c>
      <c r="B58" s="29" t="s">
        <v>42</v>
      </c>
      <c r="C58" s="28" t="s">
        <v>75</v>
      </c>
      <c r="D58" s="28">
        <v>110</v>
      </c>
      <c r="E58" s="153">
        <f>4171.46+1259.79+8.4+577.7+1100-8.4-10.6+11.4</f>
        <v>7109.749999999999</v>
      </c>
      <c r="F58" s="153">
        <f>5454.43+1655.26</f>
        <v>7109.6900000000005</v>
      </c>
      <c r="G58" s="343">
        <f t="shared" si="0"/>
        <v>99.99915608847007</v>
      </c>
      <c r="H58" s="383"/>
    </row>
    <row r="59" spans="1:8" s="16" customFormat="1" ht="22.5" customHeight="1" hidden="1">
      <c r="A59" s="24" t="s">
        <v>115</v>
      </c>
      <c r="B59" s="29" t="s">
        <v>42</v>
      </c>
      <c r="C59" s="28" t="s">
        <v>75</v>
      </c>
      <c r="D59" s="28">
        <v>112</v>
      </c>
      <c r="E59" s="153"/>
      <c r="F59" s="153"/>
      <c r="G59" s="343" t="e">
        <f t="shared" si="0"/>
        <v>#DIV/0!</v>
      </c>
      <c r="H59" s="379"/>
    </row>
    <row r="60" spans="1:8" s="19" customFormat="1" ht="26.25" customHeight="1">
      <c r="A60" s="21" t="s">
        <v>303</v>
      </c>
      <c r="B60" s="29" t="s">
        <v>42</v>
      </c>
      <c r="C60" s="28" t="s">
        <v>75</v>
      </c>
      <c r="D60" s="28">
        <v>240</v>
      </c>
      <c r="E60" s="153">
        <f>50.3+18.1+557.9+200+483.2-3+230-38.4</f>
        <v>1498.1</v>
      </c>
      <c r="F60" s="153">
        <f>47.97+5.81+808.12+17.55+131.24+481.99</f>
        <v>1492.6799999999998</v>
      </c>
      <c r="G60" s="343">
        <f t="shared" si="0"/>
        <v>99.63820839730325</v>
      </c>
      <c r="H60" s="377"/>
    </row>
    <row r="61" spans="1:8" s="19" customFormat="1" ht="15" customHeight="1">
      <c r="A61" s="130" t="s">
        <v>307</v>
      </c>
      <c r="B61" s="29" t="s">
        <v>42</v>
      </c>
      <c r="C61" s="28" t="s">
        <v>75</v>
      </c>
      <c r="D61" s="28">
        <v>850</v>
      </c>
      <c r="E61" s="153">
        <f>20+3</f>
        <v>23</v>
      </c>
      <c r="F61" s="153">
        <v>22.82</v>
      </c>
      <c r="G61" s="343">
        <f t="shared" si="0"/>
        <v>99.21739130434783</v>
      </c>
      <c r="H61" s="377"/>
    </row>
    <row r="62" spans="1:7" ht="51">
      <c r="A62" s="24" t="s">
        <v>116</v>
      </c>
      <c r="B62" s="18" t="s">
        <v>42</v>
      </c>
      <c r="C62" s="28" t="s">
        <v>157</v>
      </c>
      <c r="D62" s="28"/>
      <c r="E62" s="153">
        <f>E63</f>
        <v>414</v>
      </c>
      <c r="F62" s="153">
        <f>F63</f>
        <v>385.61</v>
      </c>
      <c r="G62" s="343">
        <f t="shared" si="0"/>
        <v>93.1425120772947</v>
      </c>
    </row>
    <row r="63" spans="1:7" ht="29.25" customHeight="1">
      <c r="A63" s="21" t="s">
        <v>303</v>
      </c>
      <c r="B63" s="18" t="s">
        <v>42</v>
      </c>
      <c r="C63" s="28" t="s">
        <v>157</v>
      </c>
      <c r="D63" s="28">
        <v>240</v>
      </c>
      <c r="E63" s="153">
        <f>160+203+300-100-149</f>
        <v>414</v>
      </c>
      <c r="F63" s="153">
        <v>385.61</v>
      </c>
      <c r="G63" s="343">
        <f t="shared" si="0"/>
        <v>93.1425120772947</v>
      </c>
    </row>
    <row r="64" spans="1:8" s="9" customFormat="1" ht="25.5">
      <c r="A64" s="24" t="s">
        <v>117</v>
      </c>
      <c r="B64" s="18" t="s">
        <v>42</v>
      </c>
      <c r="C64" s="28" t="s">
        <v>158</v>
      </c>
      <c r="D64" s="28"/>
      <c r="E64" s="153">
        <f>E65</f>
        <v>960</v>
      </c>
      <c r="F64" s="153">
        <f>F65</f>
        <v>782.22</v>
      </c>
      <c r="G64" s="343">
        <f t="shared" si="0"/>
        <v>81.48125</v>
      </c>
      <c r="H64" s="375"/>
    </row>
    <row r="65" spans="1:8" s="9" customFormat="1" ht="26.25" customHeight="1">
      <c r="A65" s="21" t="s">
        <v>303</v>
      </c>
      <c r="B65" s="18" t="s">
        <v>42</v>
      </c>
      <c r="C65" s="28" t="s">
        <v>158</v>
      </c>
      <c r="D65" s="28">
        <v>240</v>
      </c>
      <c r="E65" s="153">
        <f>500+400-200+260</f>
        <v>960</v>
      </c>
      <c r="F65" s="153">
        <f>631.12+151.1</f>
        <v>782.22</v>
      </c>
      <c r="G65" s="343">
        <f t="shared" si="0"/>
        <v>81.48125</v>
      </c>
      <c r="H65" s="375"/>
    </row>
    <row r="66" spans="1:7" ht="38.25">
      <c r="A66" s="24" t="s">
        <v>112</v>
      </c>
      <c r="B66" s="59" t="s">
        <v>42</v>
      </c>
      <c r="C66" s="28" t="s">
        <v>159</v>
      </c>
      <c r="D66" s="28"/>
      <c r="E66" s="153">
        <f>E67</f>
        <v>15.2</v>
      </c>
      <c r="F66" s="153">
        <f>F67</f>
        <v>15.16</v>
      </c>
      <c r="G66" s="343">
        <f t="shared" si="0"/>
        <v>99.73684210526316</v>
      </c>
    </row>
    <row r="67" spans="1:7" ht="15.75" customHeight="1">
      <c r="A67" s="130" t="s">
        <v>307</v>
      </c>
      <c r="B67" s="59" t="s">
        <v>42</v>
      </c>
      <c r="C67" s="28" t="s">
        <v>159</v>
      </c>
      <c r="D67" s="28">
        <v>850</v>
      </c>
      <c r="E67" s="153">
        <v>15.2</v>
      </c>
      <c r="F67" s="153">
        <v>15.16</v>
      </c>
      <c r="G67" s="343">
        <f t="shared" si="0"/>
        <v>99.73684210526316</v>
      </c>
    </row>
    <row r="68" spans="1:7" ht="25.5" hidden="1">
      <c r="A68" s="31" t="s">
        <v>254</v>
      </c>
      <c r="B68" s="18" t="s">
        <v>42</v>
      </c>
      <c r="C68" s="28" t="s">
        <v>240</v>
      </c>
      <c r="D68" s="28"/>
      <c r="E68" s="153">
        <f>E69</f>
        <v>0</v>
      </c>
      <c r="F68" s="153">
        <f>F69</f>
        <v>0</v>
      </c>
      <c r="G68" s="343" t="e">
        <f t="shared" si="0"/>
        <v>#DIV/0!</v>
      </c>
    </row>
    <row r="69" spans="1:8" s="9" customFormat="1" ht="25.5" hidden="1">
      <c r="A69" s="24" t="s">
        <v>38</v>
      </c>
      <c r="B69" s="18" t="s">
        <v>42</v>
      </c>
      <c r="C69" s="28" t="s">
        <v>240</v>
      </c>
      <c r="D69" s="28">
        <v>244</v>
      </c>
      <c r="E69" s="153"/>
      <c r="F69" s="153"/>
      <c r="G69" s="343" t="e">
        <f t="shared" si="0"/>
        <v>#DIV/0!</v>
      </c>
      <c r="H69" s="375"/>
    </row>
    <row r="70" spans="1:8" s="9" customFormat="1" ht="25.5" hidden="1">
      <c r="A70" s="24" t="s">
        <v>256</v>
      </c>
      <c r="B70" s="18" t="s">
        <v>42</v>
      </c>
      <c r="C70" s="28" t="s">
        <v>255</v>
      </c>
      <c r="D70" s="28"/>
      <c r="E70" s="153">
        <f>E71</f>
        <v>0</v>
      </c>
      <c r="F70" s="153">
        <f>F71</f>
        <v>0</v>
      </c>
      <c r="G70" s="343" t="e">
        <f t="shared" si="0"/>
        <v>#DIV/0!</v>
      </c>
      <c r="H70" s="375"/>
    </row>
    <row r="71" spans="1:8" s="9" customFormat="1" ht="25.5" hidden="1">
      <c r="A71" s="24" t="s">
        <v>38</v>
      </c>
      <c r="B71" s="18" t="s">
        <v>42</v>
      </c>
      <c r="C71" s="28" t="s">
        <v>255</v>
      </c>
      <c r="D71" s="28">
        <v>244</v>
      </c>
      <c r="E71" s="153"/>
      <c r="F71" s="153"/>
      <c r="G71" s="343" t="e">
        <f t="shared" si="0"/>
        <v>#DIV/0!</v>
      </c>
      <c r="H71" s="375"/>
    </row>
    <row r="72" spans="1:8" s="19" customFormat="1" ht="38.25">
      <c r="A72" s="13" t="s">
        <v>127</v>
      </c>
      <c r="B72" s="10" t="s">
        <v>42</v>
      </c>
      <c r="C72" s="11" t="s">
        <v>2</v>
      </c>
      <c r="D72" s="11"/>
      <c r="E72" s="149">
        <f>E73</f>
        <v>1015.19</v>
      </c>
      <c r="F72" s="149">
        <f>F73</f>
        <v>1015.19</v>
      </c>
      <c r="G72" s="343">
        <f t="shared" si="0"/>
        <v>100</v>
      </c>
      <c r="H72" s="377"/>
    </row>
    <row r="73" spans="1:8" s="16" customFormat="1" ht="54" customHeight="1">
      <c r="A73" s="15" t="s">
        <v>128</v>
      </c>
      <c r="B73" s="10" t="s">
        <v>42</v>
      </c>
      <c r="C73" s="11" t="s">
        <v>9</v>
      </c>
      <c r="D73" s="11"/>
      <c r="E73" s="149">
        <f>E74+E77</f>
        <v>1015.19</v>
      </c>
      <c r="F73" s="149">
        <f>F74+F77</f>
        <v>1015.19</v>
      </c>
      <c r="G73" s="343">
        <f t="shared" si="0"/>
        <v>100</v>
      </c>
      <c r="H73" s="379"/>
    </row>
    <row r="74" spans="1:8" s="19" customFormat="1" ht="78.75" customHeight="1">
      <c r="A74" s="21" t="s">
        <v>132</v>
      </c>
      <c r="B74" s="18" t="s">
        <v>42</v>
      </c>
      <c r="C74" s="1" t="s">
        <v>131</v>
      </c>
      <c r="D74" s="1"/>
      <c r="E74" s="154">
        <f>E75+E76</f>
        <v>502.1</v>
      </c>
      <c r="F74" s="154">
        <f>F75+F76</f>
        <v>502.1</v>
      </c>
      <c r="G74" s="343">
        <f t="shared" si="0"/>
        <v>100</v>
      </c>
      <c r="H74" s="377"/>
    </row>
    <row r="75" spans="1:8" s="19" customFormat="1" ht="25.5">
      <c r="A75" s="31" t="s">
        <v>304</v>
      </c>
      <c r="B75" s="18" t="s">
        <v>42</v>
      </c>
      <c r="C75" s="1" t="s">
        <v>131</v>
      </c>
      <c r="D75" s="1" t="s">
        <v>305</v>
      </c>
      <c r="E75" s="154">
        <f>361.36423+108.93541</f>
        <v>470.29964</v>
      </c>
      <c r="F75" s="154">
        <f>361.36423+108.93541</f>
        <v>470.29964</v>
      </c>
      <c r="G75" s="343">
        <f aca="true" t="shared" si="5" ref="G75:G108">F75/E75*100</f>
        <v>100</v>
      </c>
      <c r="H75" s="377"/>
    </row>
    <row r="76" spans="1:8" s="19" customFormat="1" ht="28.5" customHeight="1">
      <c r="A76" s="21" t="s">
        <v>303</v>
      </c>
      <c r="B76" s="18" t="s">
        <v>42</v>
      </c>
      <c r="C76" s="1" t="s">
        <v>131</v>
      </c>
      <c r="D76" s="28">
        <v>240</v>
      </c>
      <c r="E76" s="154">
        <f>4.48659+0.72+1.68703+11.648+13.25874</f>
        <v>31.800359999999998</v>
      </c>
      <c r="F76" s="154">
        <f>4.48659+0.72+1.68703+11.648+13.25874</f>
        <v>31.800359999999998</v>
      </c>
      <c r="G76" s="343">
        <f t="shared" si="5"/>
        <v>100</v>
      </c>
      <c r="H76" s="377"/>
    </row>
    <row r="77" spans="1:8" s="19" customFormat="1" ht="79.5" customHeight="1">
      <c r="A77" s="21" t="s">
        <v>129</v>
      </c>
      <c r="B77" s="18" t="s">
        <v>42</v>
      </c>
      <c r="C77" s="1" t="s">
        <v>130</v>
      </c>
      <c r="D77" s="1"/>
      <c r="E77" s="154">
        <f>E78+E79</f>
        <v>513.09</v>
      </c>
      <c r="F77" s="154">
        <f>F78+F79</f>
        <v>513.09</v>
      </c>
      <c r="G77" s="343">
        <f t="shared" si="5"/>
        <v>100</v>
      </c>
      <c r="H77" s="377"/>
    </row>
    <row r="78" spans="1:8" s="19" customFormat="1" ht="18.75" customHeight="1">
      <c r="A78" s="31" t="s">
        <v>304</v>
      </c>
      <c r="B78" s="18" t="s">
        <v>42</v>
      </c>
      <c r="C78" s="1" t="s">
        <v>130</v>
      </c>
      <c r="D78" s="1" t="s">
        <v>305</v>
      </c>
      <c r="E78" s="154">
        <f>385.7982+116.33097+0.7</f>
        <v>502.82917</v>
      </c>
      <c r="F78" s="154">
        <f>385.7982+116.33097+0.7</f>
        <v>502.82917</v>
      </c>
      <c r="G78" s="343">
        <f t="shared" si="5"/>
        <v>100</v>
      </c>
      <c r="H78" s="377"/>
    </row>
    <row r="79" spans="1:8" s="19" customFormat="1" ht="28.5" customHeight="1">
      <c r="A79" s="21" t="s">
        <v>303</v>
      </c>
      <c r="B79" s="18" t="s">
        <v>42</v>
      </c>
      <c r="C79" s="1" t="s">
        <v>130</v>
      </c>
      <c r="D79" s="28">
        <v>240</v>
      </c>
      <c r="E79" s="154">
        <f>7.95883+0.952+1.35</f>
        <v>10.26083</v>
      </c>
      <c r="F79" s="154">
        <f>7.95883+0.952+1.35</f>
        <v>10.26083</v>
      </c>
      <c r="G79" s="343">
        <f t="shared" si="5"/>
        <v>100</v>
      </c>
      <c r="H79" s="377"/>
    </row>
    <row r="80" spans="1:8" s="67" customFormat="1" ht="28.5">
      <c r="A80" s="63" t="s">
        <v>180</v>
      </c>
      <c r="B80" s="66" t="s">
        <v>123</v>
      </c>
      <c r="C80" s="64"/>
      <c r="D80" s="64"/>
      <c r="E80" s="150">
        <f aca="true" t="shared" si="6" ref="E80:F83">E81</f>
        <v>503.84</v>
      </c>
      <c r="F80" s="150">
        <f t="shared" si="6"/>
        <v>503.84</v>
      </c>
      <c r="G80" s="343">
        <f t="shared" si="5"/>
        <v>100</v>
      </c>
      <c r="H80" s="384"/>
    </row>
    <row r="81" spans="1:8" s="76" customFormat="1" ht="28.5">
      <c r="A81" s="63" t="s">
        <v>124</v>
      </c>
      <c r="B81" s="66" t="s">
        <v>125</v>
      </c>
      <c r="C81" s="64"/>
      <c r="D81" s="64"/>
      <c r="E81" s="150">
        <f t="shared" si="6"/>
        <v>503.84</v>
      </c>
      <c r="F81" s="150">
        <f t="shared" si="6"/>
        <v>503.84</v>
      </c>
      <c r="G81" s="343">
        <f t="shared" si="5"/>
        <v>100</v>
      </c>
      <c r="H81" s="376"/>
    </row>
    <row r="82" spans="1:8" s="52" customFormat="1" ht="25.5">
      <c r="A82" s="13" t="s">
        <v>111</v>
      </c>
      <c r="B82" s="58" t="s">
        <v>125</v>
      </c>
      <c r="C82" s="32" t="s">
        <v>0</v>
      </c>
      <c r="D82" s="32"/>
      <c r="E82" s="152">
        <f t="shared" si="6"/>
        <v>503.84</v>
      </c>
      <c r="F82" s="152">
        <f t="shared" si="6"/>
        <v>503.84</v>
      </c>
      <c r="G82" s="343">
        <f t="shared" si="5"/>
        <v>100</v>
      </c>
      <c r="H82" s="382"/>
    </row>
    <row r="83" spans="1:8" s="52" customFormat="1" ht="25.5">
      <c r="A83" s="15" t="s">
        <v>78</v>
      </c>
      <c r="B83" s="58" t="s">
        <v>125</v>
      </c>
      <c r="C83" s="11" t="s">
        <v>74</v>
      </c>
      <c r="D83" s="11"/>
      <c r="E83" s="149">
        <f t="shared" si="6"/>
        <v>503.84</v>
      </c>
      <c r="F83" s="149">
        <f t="shared" si="6"/>
        <v>503.84</v>
      </c>
      <c r="G83" s="343">
        <f t="shared" si="5"/>
        <v>100</v>
      </c>
      <c r="H83" s="382"/>
    </row>
    <row r="84" spans="1:8" s="9" customFormat="1" ht="30" customHeight="1">
      <c r="A84" s="38" t="s">
        <v>235</v>
      </c>
      <c r="B84" s="29" t="s">
        <v>125</v>
      </c>
      <c r="C84" s="28" t="s">
        <v>181</v>
      </c>
      <c r="D84" s="28"/>
      <c r="E84" s="153">
        <f>E85+E86+E87</f>
        <v>503.84</v>
      </c>
      <c r="F84" s="153">
        <f>F85+F86+F87</f>
        <v>503.84</v>
      </c>
      <c r="G84" s="343">
        <f t="shared" si="5"/>
        <v>100</v>
      </c>
      <c r="H84" s="375"/>
    </row>
    <row r="85" spans="1:8" s="57" customFormat="1" ht="25.5">
      <c r="A85" s="31" t="s">
        <v>304</v>
      </c>
      <c r="B85" s="29" t="s">
        <v>125</v>
      </c>
      <c r="C85" s="28" t="s">
        <v>181</v>
      </c>
      <c r="D85" s="28">
        <v>120</v>
      </c>
      <c r="E85" s="153">
        <f>341.13644+105.10325</f>
        <v>446.23969</v>
      </c>
      <c r="F85" s="153">
        <f>341.13644+105.10325</f>
        <v>446.23969</v>
      </c>
      <c r="G85" s="343">
        <f t="shared" si="5"/>
        <v>100</v>
      </c>
      <c r="H85" s="383"/>
    </row>
    <row r="86" spans="1:8" s="16" customFormat="1" ht="25.5" hidden="1">
      <c r="A86" s="24" t="s">
        <v>115</v>
      </c>
      <c r="B86" s="29" t="s">
        <v>125</v>
      </c>
      <c r="C86" s="28" t="s">
        <v>181</v>
      </c>
      <c r="D86" s="28">
        <v>122</v>
      </c>
      <c r="E86" s="153"/>
      <c r="F86" s="153"/>
      <c r="G86" s="343" t="e">
        <f t="shared" si="5"/>
        <v>#DIV/0!</v>
      </c>
      <c r="H86" s="379"/>
    </row>
    <row r="87" spans="1:8" s="19" customFormat="1" ht="30" customHeight="1">
      <c r="A87" s="21" t="s">
        <v>303</v>
      </c>
      <c r="B87" s="29" t="s">
        <v>125</v>
      </c>
      <c r="C87" s="28" t="s">
        <v>181</v>
      </c>
      <c r="D87" s="28">
        <v>240</v>
      </c>
      <c r="E87" s="153">
        <f>4.14821+1.872+1.7356+33.88502+15.95948</f>
        <v>57.60030999999999</v>
      </c>
      <c r="F87" s="153">
        <f>4.14821+1.872+1.7356+33.88502+15.95948</f>
        <v>57.60030999999999</v>
      </c>
      <c r="G87" s="343">
        <f t="shared" si="5"/>
        <v>100</v>
      </c>
      <c r="H87" s="377"/>
    </row>
    <row r="88" spans="1:8" s="67" customFormat="1" ht="28.5">
      <c r="A88" s="63" t="s">
        <v>88</v>
      </c>
      <c r="B88" s="66" t="s">
        <v>87</v>
      </c>
      <c r="C88" s="64"/>
      <c r="D88" s="64"/>
      <c r="E88" s="150">
        <f>E89+E94+E99</f>
        <v>495.09000000000003</v>
      </c>
      <c r="F88" s="150">
        <f>F89+F94+F99</f>
        <v>495.09000000000003</v>
      </c>
      <c r="G88" s="343">
        <f t="shared" si="5"/>
        <v>100</v>
      </c>
      <c r="H88" s="384"/>
    </row>
    <row r="89" spans="1:8" s="76" customFormat="1" ht="42.75">
      <c r="A89" s="63" t="s">
        <v>89</v>
      </c>
      <c r="B89" s="66" t="s">
        <v>68</v>
      </c>
      <c r="C89" s="64"/>
      <c r="D89" s="64"/>
      <c r="E89" s="150">
        <f aca="true" t="shared" si="7" ref="E89:F92">E90</f>
        <v>495.09000000000003</v>
      </c>
      <c r="F89" s="150">
        <f t="shared" si="7"/>
        <v>495.09000000000003</v>
      </c>
      <c r="G89" s="343">
        <f t="shared" si="5"/>
        <v>100</v>
      </c>
      <c r="H89" s="376"/>
    </row>
    <row r="90" spans="1:8" s="19" customFormat="1" ht="25.5">
      <c r="A90" s="13" t="s">
        <v>160</v>
      </c>
      <c r="B90" s="58" t="s">
        <v>68</v>
      </c>
      <c r="C90" s="11" t="s">
        <v>2</v>
      </c>
      <c r="D90" s="11"/>
      <c r="E90" s="149">
        <f t="shared" si="7"/>
        <v>495.09000000000003</v>
      </c>
      <c r="F90" s="149">
        <f t="shared" si="7"/>
        <v>495.09000000000003</v>
      </c>
      <c r="G90" s="343">
        <f t="shared" si="5"/>
        <v>100</v>
      </c>
      <c r="H90" s="377"/>
    </row>
    <row r="91" spans="1:8" s="16" customFormat="1" ht="49.5" customHeight="1">
      <c r="A91" s="15" t="s">
        <v>161</v>
      </c>
      <c r="B91" s="58" t="s">
        <v>68</v>
      </c>
      <c r="C91" s="11" t="s">
        <v>7</v>
      </c>
      <c r="D91" s="11"/>
      <c r="E91" s="149">
        <f t="shared" si="7"/>
        <v>495.09000000000003</v>
      </c>
      <c r="F91" s="149">
        <f t="shared" si="7"/>
        <v>495.09000000000003</v>
      </c>
      <c r="G91" s="343">
        <f t="shared" si="5"/>
        <v>100</v>
      </c>
      <c r="H91" s="379"/>
    </row>
    <row r="92" spans="1:8" s="19" customFormat="1" ht="66" customHeight="1">
      <c r="A92" s="21" t="s">
        <v>163</v>
      </c>
      <c r="B92" s="59" t="s">
        <v>68</v>
      </c>
      <c r="C92" s="1" t="s">
        <v>162</v>
      </c>
      <c r="D92" s="1"/>
      <c r="E92" s="154">
        <f t="shared" si="7"/>
        <v>495.09000000000003</v>
      </c>
      <c r="F92" s="154">
        <f t="shared" si="7"/>
        <v>495.09000000000003</v>
      </c>
      <c r="G92" s="343">
        <f t="shared" si="5"/>
        <v>100</v>
      </c>
      <c r="H92" s="377"/>
    </row>
    <row r="93" spans="1:8" s="19" customFormat="1" ht="26.25" customHeight="1">
      <c r="A93" s="21" t="s">
        <v>303</v>
      </c>
      <c r="B93" s="59" t="s">
        <v>68</v>
      </c>
      <c r="C93" s="1" t="s">
        <v>162</v>
      </c>
      <c r="D93" s="28">
        <v>240</v>
      </c>
      <c r="E93" s="154">
        <f>50.62+40+20+300-100+142.87+41.6</f>
        <v>495.09000000000003</v>
      </c>
      <c r="F93" s="154">
        <f>50.62+40+20+300-100+142.87+41.6</f>
        <v>495.09000000000003</v>
      </c>
      <c r="G93" s="343">
        <f t="shared" si="5"/>
        <v>100</v>
      </c>
      <c r="H93" s="377"/>
    </row>
    <row r="94" spans="1:8" s="74" customFormat="1" ht="15" hidden="1">
      <c r="A94" s="71" t="s">
        <v>104</v>
      </c>
      <c r="B94" s="70" t="s">
        <v>105</v>
      </c>
      <c r="C94" s="72"/>
      <c r="D94" s="73"/>
      <c r="E94" s="156">
        <f>E95</f>
        <v>0</v>
      </c>
      <c r="F94" s="156">
        <f>F95</f>
        <v>0</v>
      </c>
      <c r="G94" s="343" t="e">
        <f t="shared" si="5"/>
        <v>#DIV/0!</v>
      </c>
      <c r="H94" s="385"/>
    </row>
    <row r="95" spans="1:8" s="19" customFormat="1" ht="25.5" hidden="1">
      <c r="A95" s="13" t="s">
        <v>160</v>
      </c>
      <c r="B95" s="58" t="s">
        <v>105</v>
      </c>
      <c r="C95" s="11" t="s">
        <v>2</v>
      </c>
      <c r="D95" s="11"/>
      <c r="E95" s="149">
        <f>E97</f>
        <v>0</v>
      </c>
      <c r="F95" s="149">
        <f>F97</f>
        <v>0</v>
      </c>
      <c r="G95" s="343" t="e">
        <f t="shared" si="5"/>
        <v>#DIV/0!</v>
      </c>
      <c r="H95" s="377"/>
    </row>
    <row r="96" spans="1:8" s="19" customFormat="1" ht="38.25" hidden="1">
      <c r="A96" s="13" t="s">
        <v>222</v>
      </c>
      <c r="B96" s="94" t="s">
        <v>105</v>
      </c>
      <c r="C96" s="95" t="s">
        <v>8</v>
      </c>
      <c r="D96" s="11"/>
      <c r="E96" s="149">
        <f>E97</f>
        <v>0</v>
      </c>
      <c r="F96" s="149">
        <f>F97</f>
        <v>0</v>
      </c>
      <c r="G96" s="343" t="e">
        <f t="shared" si="5"/>
        <v>#DIV/0!</v>
      </c>
      <c r="H96" s="377"/>
    </row>
    <row r="97" spans="1:7" ht="51" hidden="1">
      <c r="A97" s="44" t="s">
        <v>164</v>
      </c>
      <c r="B97" s="37" t="s">
        <v>105</v>
      </c>
      <c r="C97" s="35" t="s">
        <v>165</v>
      </c>
      <c r="D97" s="47"/>
      <c r="E97" s="157">
        <f>E98</f>
        <v>0</v>
      </c>
      <c r="F97" s="157">
        <f>F98</f>
        <v>0</v>
      </c>
      <c r="G97" s="343" t="e">
        <f t="shared" si="5"/>
        <v>#DIV/0!</v>
      </c>
    </row>
    <row r="98" spans="1:7" ht="25.5" customHeight="1" hidden="1">
      <c r="A98" s="21" t="s">
        <v>303</v>
      </c>
      <c r="B98" s="37" t="s">
        <v>105</v>
      </c>
      <c r="C98" s="35" t="s">
        <v>165</v>
      </c>
      <c r="D98" s="28">
        <v>240</v>
      </c>
      <c r="E98" s="157">
        <f>183+84+86+82-292.13-142.87</f>
        <v>0</v>
      </c>
      <c r="F98" s="157">
        <f>183+84+86+82-292.13-142.87</f>
        <v>0</v>
      </c>
      <c r="G98" s="343" t="e">
        <f t="shared" si="5"/>
        <v>#DIV/0!</v>
      </c>
    </row>
    <row r="99" spans="1:8" s="67" customFormat="1" ht="28.5" hidden="1">
      <c r="A99" s="69" t="s">
        <v>102</v>
      </c>
      <c r="B99" s="70" t="s">
        <v>103</v>
      </c>
      <c r="C99" s="64"/>
      <c r="D99" s="64"/>
      <c r="E99" s="150">
        <f aca="true" t="shared" si="8" ref="E99:F102">E100</f>
        <v>0</v>
      </c>
      <c r="F99" s="150">
        <f t="shared" si="8"/>
        <v>0</v>
      </c>
      <c r="G99" s="343" t="e">
        <f t="shared" si="5"/>
        <v>#DIV/0!</v>
      </c>
      <c r="H99" s="384"/>
    </row>
    <row r="100" spans="1:8" s="19" customFormat="1" ht="25.5" hidden="1">
      <c r="A100" s="13" t="s">
        <v>160</v>
      </c>
      <c r="B100" s="58" t="s">
        <v>103</v>
      </c>
      <c r="C100" s="11" t="s">
        <v>2</v>
      </c>
      <c r="D100" s="11"/>
      <c r="E100" s="149">
        <f t="shared" si="8"/>
        <v>0</v>
      </c>
      <c r="F100" s="149">
        <f t="shared" si="8"/>
        <v>0</v>
      </c>
      <c r="G100" s="343" t="e">
        <f t="shared" si="5"/>
        <v>#DIV/0!</v>
      </c>
      <c r="H100" s="377"/>
    </row>
    <row r="101" spans="1:8" s="16" customFormat="1" ht="38.25" hidden="1">
      <c r="A101" s="39" t="s">
        <v>166</v>
      </c>
      <c r="B101" s="40" t="s">
        <v>103</v>
      </c>
      <c r="C101" s="49" t="s">
        <v>6</v>
      </c>
      <c r="D101" s="48"/>
      <c r="E101" s="158">
        <f t="shared" si="8"/>
        <v>0</v>
      </c>
      <c r="F101" s="158">
        <f t="shared" si="8"/>
        <v>0</v>
      </c>
      <c r="G101" s="343" t="e">
        <f t="shared" si="5"/>
        <v>#DIV/0!</v>
      </c>
      <c r="H101" s="379"/>
    </row>
    <row r="102" spans="1:8" s="55" customFormat="1" ht="63.75" hidden="1">
      <c r="A102" s="44" t="s">
        <v>292</v>
      </c>
      <c r="B102" s="37" t="s">
        <v>103</v>
      </c>
      <c r="C102" s="41" t="s">
        <v>167</v>
      </c>
      <c r="D102" s="48"/>
      <c r="E102" s="157">
        <f t="shared" si="8"/>
        <v>0</v>
      </c>
      <c r="F102" s="157">
        <f t="shared" si="8"/>
        <v>0</v>
      </c>
      <c r="G102" s="343" t="e">
        <f t="shared" si="5"/>
        <v>#DIV/0!</v>
      </c>
      <c r="H102" s="386"/>
    </row>
    <row r="103" spans="1:8" s="55" customFormat="1" ht="25.5" hidden="1">
      <c r="A103" s="24" t="s">
        <v>38</v>
      </c>
      <c r="B103" s="37" t="s">
        <v>103</v>
      </c>
      <c r="C103" s="41" t="s">
        <v>167</v>
      </c>
      <c r="D103" s="36">
        <v>244</v>
      </c>
      <c r="E103" s="157">
        <v>0</v>
      </c>
      <c r="F103" s="157">
        <v>0</v>
      </c>
      <c r="G103" s="343" t="e">
        <f t="shared" si="5"/>
        <v>#DIV/0!</v>
      </c>
      <c r="H103" s="386"/>
    </row>
    <row r="104" spans="1:8" s="67" customFormat="1" ht="28.5">
      <c r="A104" s="63" t="s">
        <v>91</v>
      </c>
      <c r="B104" s="66" t="s">
        <v>90</v>
      </c>
      <c r="C104" s="64"/>
      <c r="D104" s="64"/>
      <c r="E104" s="150">
        <f>E105+E133</f>
        <v>17110.245</v>
      </c>
      <c r="F104" s="150">
        <f>F105+F133</f>
        <v>13755.775</v>
      </c>
      <c r="G104" s="343">
        <f t="shared" si="5"/>
        <v>80.3949621995477</v>
      </c>
      <c r="H104" s="384"/>
    </row>
    <row r="105" spans="1:8" s="76" customFormat="1" ht="15">
      <c r="A105" s="71" t="s">
        <v>98</v>
      </c>
      <c r="B105" s="70" t="s">
        <v>99</v>
      </c>
      <c r="C105" s="72"/>
      <c r="D105" s="89"/>
      <c r="E105" s="156">
        <f>E106+E124</f>
        <v>16815.245</v>
      </c>
      <c r="F105" s="156">
        <f>F106+F124</f>
        <v>13532.945</v>
      </c>
      <c r="G105" s="343">
        <f t="shared" si="5"/>
        <v>80.4802130447698</v>
      </c>
      <c r="H105" s="376"/>
    </row>
    <row r="106" spans="1:7" ht="25.5">
      <c r="A106" s="39" t="s">
        <v>168</v>
      </c>
      <c r="B106" s="40" t="s">
        <v>99</v>
      </c>
      <c r="C106" s="43" t="s">
        <v>170</v>
      </c>
      <c r="D106" s="46"/>
      <c r="E106" s="158">
        <f>E107+E116</f>
        <v>6299.25</v>
      </c>
      <c r="F106" s="158">
        <f>F107+F116</f>
        <v>5912.73</v>
      </c>
      <c r="G106" s="343">
        <f t="shared" si="5"/>
        <v>93.86403143231337</v>
      </c>
    </row>
    <row r="107" spans="1:8" s="52" customFormat="1" ht="42" customHeight="1">
      <c r="A107" s="39" t="s">
        <v>169</v>
      </c>
      <c r="B107" s="40" t="s">
        <v>99</v>
      </c>
      <c r="C107" s="43" t="s">
        <v>171</v>
      </c>
      <c r="D107" s="45"/>
      <c r="E107" s="158">
        <f>E108+E112+E114+E110</f>
        <v>5123.8</v>
      </c>
      <c r="F107" s="158">
        <f>F108+F112+F114+F110</f>
        <v>4737.33</v>
      </c>
      <c r="G107" s="343">
        <f t="shared" si="5"/>
        <v>92.45735586869121</v>
      </c>
      <c r="H107" s="382"/>
    </row>
    <row r="108" spans="1:7" ht="63.75">
      <c r="A108" s="44" t="s">
        <v>172</v>
      </c>
      <c r="B108" s="37" t="s">
        <v>99</v>
      </c>
      <c r="C108" s="35" t="s">
        <v>173</v>
      </c>
      <c r="D108" s="46"/>
      <c r="E108" s="157">
        <f>E109</f>
        <v>2101</v>
      </c>
      <c r="F108" s="157">
        <f>F109</f>
        <v>1714.8400000000001</v>
      </c>
      <c r="G108" s="343">
        <f t="shared" si="5"/>
        <v>81.62018086625416</v>
      </c>
    </row>
    <row r="109" spans="1:8" s="16" customFormat="1" ht="30" customHeight="1">
      <c r="A109" s="21" t="s">
        <v>303</v>
      </c>
      <c r="B109" s="37" t="s">
        <v>99</v>
      </c>
      <c r="C109" s="35" t="s">
        <v>173</v>
      </c>
      <c r="D109" s="36">
        <v>240</v>
      </c>
      <c r="E109" s="157">
        <f>2000-253.2+354.2</f>
        <v>2101</v>
      </c>
      <c r="F109" s="157">
        <f>533.39+1181.45</f>
        <v>1714.8400000000001</v>
      </c>
      <c r="G109" s="343">
        <f>F109/E109*100</f>
        <v>81.62018086625416</v>
      </c>
      <c r="H109" s="379"/>
    </row>
    <row r="110" spans="1:8" s="19" customFormat="1" ht="63.75">
      <c r="A110" s="34" t="s">
        <v>319</v>
      </c>
      <c r="B110" s="59" t="s">
        <v>99</v>
      </c>
      <c r="C110" s="35" t="s">
        <v>301</v>
      </c>
      <c r="D110" s="36"/>
      <c r="E110" s="157">
        <f>E111</f>
        <v>1262.2</v>
      </c>
      <c r="F110" s="157">
        <f>F111</f>
        <v>1261.89</v>
      </c>
      <c r="G110" s="343">
        <f aca="true" t="shared" si="9" ref="G110:G173">F110/E110*100</f>
        <v>99.97543970844558</v>
      </c>
      <c r="H110" s="377"/>
    </row>
    <row r="111" spans="1:8" s="19" customFormat="1" ht="30" customHeight="1">
      <c r="A111" s="21" t="s">
        <v>303</v>
      </c>
      <c r="B111" s="59" t="s">
        <v>99</v>
      </c>
      <c r="C111" s="35" t="s">
        <v>301</v>
      </c>
      <c r="D111" s="28">
        <v>240</v>
      </c>
      <c r="E111" s="157">
        <v>1262.2</v>
      </c>
      <c r="F111" s="157">
        <v>1261.89</v>
      </c>
      <c r="G111" s="343">
        <f t="shared" si="9"/>
        <v>99.97543970844558</v>
      </c>
      <c r="H111" s="377"/>
    </row>
    <row r="112" spans="1:7" ht="25.5">
      <c r="A112" s="44" t="s">
        <v>266</v>
      </c>
      <c r="B112" s="37" t="s">
        <v>99</v>
      </c>
      <c r="C112" s="35" t="s">
        <v>265</v>
      </c>
      <c r="D112" s="46"/>
      <c r="E112" s="157">
        <f>E113</f>
        <v>1408.5</v>
      </c>
      <c r="F112" s="157">
        <f>F113</f>
        <v>1408.5</v>
      </c>
      <c r="G112" s="343">
        <f t="shared" si="9"/>
        <v>100</v>
      </c>
    </row>
    <row r="113" spans="1:8" s="16" customFormat="1" ht="25.5">
      <c r="A113" s="24" t="s">
        <v>38</v>
      </c>
      <c r="B113" s="37" t="s">
        <v>99</v>
      </c>
      <c r="C113" s="35" t="s">
        <v>265</v>
      </c>
      <c r="D113" s="36">
        <v>244</v>
      </c>
      <c r="E113" s="157">
        <v>1408.5</v>
      </c>
      <c r="F113" s="157">
        <v>1408.5</v>
      </c>
      <c r="G113" s="343">
        <f t="shared" si="9"/>
        <v>100</v>
      </c>
      <c r="H113" s="379"/>
    </row>
    <row r="114" spans="1:7" ht="12.75">
      <c r="A114" s="44" t="s">
        <v>523</v>
      </c>
      <c r="B114" s="37" t="s">
        <v>99</v>
      </c>
      <c r="C114" s="35" t="s">
        <v>265</v>
      </c>
      <c r="D114" s="46"/>
      <c r="E114" s="157">
        <f>E115</f>
        <v>352.1</v>
      </c>
      <c r="F114" s="157">
        <f>F115</f>
        <v>352.1</v>
      </c>
      <c r="G114" s="343">
        <f t="shared" si="9"/>
        <v>100</v>
      </c>
    </row>
    <row r="115" spans="1:8" s="16" customFormat="1" ht="25.5">
      <c r="A115" s="24" t="s">
        <v>38</v>
      </c>
      <c r="B115" s="37" t="s">
        <v>99</v>
      </c>
      <c r="C115" s="35" t="s">
        <v>522</v>
      </c>
      <c r="D115" s="36">
        <v>244</v>
      </c>
      <c r="E115" s="157">
        <v>352.1</v>
      </c>
      <c r="F115" s="157">
        <v>352.1</v>
      </c>
      <c r="G115" s="343">
        <f t="shared" si="9"/>
        <v>100</v>
      </c>
      <c r="H115" s="379"/>
    </row>
    <row r="116" spans="1:7" ht="18" customHeight="1">
      <c r="A116" s="39" t="s">
        <v>168</v>
      </c>
      <c r="B116" s="40" t="s">
        <v>99</v>
      </c>
      <c r="C116" s="43" t="s">
        <v>170</v>
      </c>
      <c r="D116" s="46"/>
      <c r="E116" s="158">
        <f>E117</f>
        <v>1175.4499999999998</v>
      </c>
      <c r="F116" s="158">
        <f>F117</f>
        <v>1175.4</v>
      </c>
      <c r="G116" s="343">
        <f t="shared" si="9"/>
        <v>99.99574630992389</v>
      </c>
    </row>
    <row r="117" spans="1:8" s="56" customFormat="1" ht="63.75">
      <c r="A117" s="39" t="s">
        <v>174</v>
      </c>
      <c r="B117" s="40" t="s">
        <v>99</v>
      </c>
      <c r="C117" s="43" t="s">
        <v>219</v>
      </c>
      <c r="D117" s="48"/>
      <c r="E117" s="158">
        <f>E118+E122</f>
        <v>1175.4499999999998</v>
      </c>
      <c r="F117" s="158">
        <f>F118+F122</f>
        <v>1175.4</v>
      </c>
      <c r="G117" s="343">
        <f t="shared" si="9"/>
        <v>99.99574630992389</v>
      </c>
      <c r="H117" s="381"/>
    </row>
    <row r="118" spans="1:7" ht="89.25">
      <c r="A118" s="44" t="s">
        <v>243</v>
      </c>
      <c r="B118" s="37" t="s">
        <v>99</v>
      </c>
      <c r="C118" s="35" t="s">
        <v>175</v>
      </c>
      <c r="D118" s="46"/>
      <c r="E118" s="157">
        <f>E119</f>
        <v>625.4499999999999</v>
      </c>
      <c r="F118" s="157">
        <f>F119</f>
        <v>625.4</v>
      </c>
      <c r="G118" s="343">
        <f t="shared" si="9"/>
        <v>99.9920057558558</v>
      </c>
    </row>
    <row r="119" spans="1:7" ht="28.5" customHeight="1">
      <c r="A119" s="21" t="s">
        <v>303</v>
      </c>
      <c r="B119" s="37" t="s">
        <v>99</v>
      </c>
      <c r="C119" s="35" t="s">
        <v>175</v>
      </c>
      <c r="D119" s="28">
        <v>240</v>
      </c>
      <c r="E119" s="157">
        <f>600+450+60+200+90-500-200-150+31.55+95.8-51.9</f>
        <v>625.4499999999999</v>
      </c>
      <c r="F119" s="157">
        <f>442.52+182.88</f>
        <v>625.4</v>
      </c>
      <c r="G119" s="343">
        <f t="shared" si="9"/>
        <v>99.9920057558558</v>
      </c>
    </row>
    <row r="120" spans="1:8" s="56" customFormat="1" ht="55.5" customHeight="1" hidden="1">
      <c r="A120" s="44" t="s">
        <v>176</v>
      </c>
      <c r="B120" s="37" t="s">
        <v>99</v>
      </c>
      <c r="C120" s="35" t="s">
        <v>177</v>
      </c>
      <c r="D120" s="46"/>
      <c r="E120" s="157">
        <f>E121</f>
        <v>0</v>
      </c>
      <c r="F120" s="157">
        <f>F121</f>
        <v>0</v>
      </c>
      <c r="G120" s="343" t="e">
        <f t="shared" si="9"/>
        <v>#DIV/0!</v>
      </c>
      <c r="H120" s="381"/>
    </row>
    <row r="121" spans="1:8" s="56" customFormat="1" ht="26.25" customHeight="1" hidden="1">
      <c r="A121" s="21" t="s">
        <v>303</v>
      </c>
      <c r="B121" s="37" t="s">
        <v>99</v>
      </c>
      <c r="C121" s="35" t="s">
        <v>177</v>
      </c>
      <c r="D121" s="28">
        <v>240</v>
      </c>
      <c r="E121" s="157">
        <f>500+300-200-50-550</f>
        <v>0</v>
      </c>
      <c r="F121" s="157">
        <f>500+300-200-50-550</f>
        <v>0</v>
      </c>
      <c r="G121" s="343" t="e">
        <f t="shared" si="9"/>
        <v>#DIV/0!</v>
      </c>
      <c r="H121" s="381"/>
    </row>
    <row r="122" spans="1:8" s="57" customFormat="1" ht="54.75" customHeight="1">
      <c r="A122" s="294" t="s">
        <v>348</v>
      </c>
      <c r="B122" s="29" t="s">
        <v>99</v>
      </c>
      <c r="C122" s="28" t="s">
        <v>347</v>
      </c>
      <c r="D122" s="28"/>
      <c r="E122" s="153">
        <f>E123</f>
        <v>550</v>
      </c>
      <c r="F122" s="153">
        <f>F123</f>
        <v>550</v>
      </c>
      <c r="G122" s="343">
        <f t="shared" si="9"/>
        <v>100</v>
      </c>
      <c r="H122" s="383"/>
    </row>
    <row r="123" spans="1:8" s="57" customFormat="1" ht="18.75" customHeight="1">
      <c r="A123" s="3" t="s">
        <v>312</v>
      </c>
      <c r="B123" s="29" t="s">
        <v>99</v>
      </c>
      <c r="C123" s="28" t="s">
        <v>347</v>
      </c>
      <c r="D123" s="28">
        <v>610</v>
      </c>
      <c r="E123" s="153">
        <v>550</v>
      </c>
      <c r="F123" s="153">
        <v>550</v>
      </c>
      <c r="G123" s="343">
        <f t="shared" si="9"/>
        <v>100</v>
      </c>
      <c r="H123" s="383"/>
    </row>
    <row r="124" spans="1:8" s="19" customFormat="1" ht="18.75" customHeight="1">
      <c r="A124" s="13" t="s">
        <v>111</v>
      </c>
      <c r="B124" s="40" t="s">
        <v>99</v>
      </c>
      <c r="C124" s="43" t="s">
        <v>74</v>
      </c>
      <c r="D124" s="32"/>
      <c r="E124" s="158">
        <f>E125+E127+E129+E131</f>
        <v>10515.994999999999</v>
      </c>
      <c r="F124" s="158">
        <f>F125+F127+F129+F131</f>
        <v>7620.215</v>
      </c>
      <c r="G124" s="343">
        <f t="shared" si="9"/>
        <v>72.46309074890203</v>
      </c>
      <c r="H124" s="377"/>
    </row>
    <row r="125" spans="1:8" s="56" customFormat="1" ht="30.75" customHeight="1" hidden="1">
      <c r="A125" s="44" t="s">
        <v>299</v>
      </c>
      <c r="B125" s="37" t="s">
        <v>99</v>
      </c>
      <c r="C125" s="35" t="s">
        <v>298</v>
      </c>
      <c r="D125" s="46"/>
      <c r="E125" s="157">
        <f>E126</f>
        <v>0</v>
      </c>
      <c r="F125" s="157">
        <f>F126</f>
        <v>0</v>
      </c>
      <c r="G125" s="343" t="e">
        <f t="shared" si="9"/>
        <v>#DIV/0!</v>
      </c>
      <c r="H125" s="381"/>
    </row>
    <row r="126" spans="1:8" s="56" customFormat="1" ht="28.5" customHeight="1" hidden="1">
      <c r="A126" s="21" t="s">
        <v>303</v>
      </c>
      <c r="B126" s="37" t="s">
        <v>99</v>
      </c>
      <c r="C126" s="35" t="s">
        <v>298</v>
      </c>
      <c r="D126" s="28">
        <v>240</v>
      </c>
      <c r="E126" s="157">
        <f>700-200-50-450</f>
        <v>0</v>
      </c>
      <c r="F126" s="157">
        <f>700-200-50-450</f>
        <v>0</v>
      </c>
      <c r="G126" s="343" t="e">
        <f t="shared" si="9"/>
        <v>#DIV/0!</v>
      </c>
      <c r="H126" s="381"/>
    </row>
    <row r="127" spans="1:8" s="19" customFormat="1" ht="25.5">
      <c r="A127" s="24" t="s">
        <v>253</v>
      </c>
      <c r="B127" s="37" t="s">
        <v>99</v>
      </c>
      <c r="C127" s="35" t="s">
        <v>252</v>
      </c>
      <c r="D127" s="36"/>
      <c r="E127" s="157">
        <f>E128</f>
        <v>464.095</v>
      </c>
      <c r="F127" s="157">
        <f>F128</f>
        <v>464.095</v>
      </c>
      <c r="G127" s="343">
        <f t="shared" si="9"/>
        <v>100</v>
      </c>
      <c r="H127" s="377"/>
    </row>
    <row r="128" spans="1:8" s="19" customFormat="1" ht="25.5">
      <c r="A128" s="24" t="s">
        <v>38</v>
      </c>
      <c r="B128" s="37" t="s">
        <v>99</v>
      </c>
      <c r="C128" s="35" t="s">
        <v>252</v>
      </c>
      <c r="D128" s="36">
        <v>244</v>
      </c>
      <c r="E128" s="157">
        <v>464.095</v>
      </c>
      <c r="F128" s="157">
        <v>464.095</v>
      </c>
      <c r="G128" s="343">
        <f t="shared" si="9"/>
        <v>100</v>
      </c>
      <c r="H128" s="377"/>
    </row>
    <row r="129" spans="1:8" s="19" customFormat="1" ht="12.75">
      <c r="A129" s="24" t="s">
        <v>535</v>
      </c>
      <c r="B129" s="59" t="s">
        <v>99</v>
      </c>
      <c r="C129" s="35" t="s">
        <v>526</v>
      </c>
      <c r="D129" s="36"/>
      <c r="E129" s="157">
        <f>E130</f>
        <v>10000</v>
      </c>
      <c r="F129" s="157">
        <f>F130</f>
        <v>7104.22</v>
      </c>
      <c r="G129" s="343">
        <f t="shared" si="9"/>
        <v>71.0422</v>
      </c>
      <c r="H129" s="377"/>
    </row>
    <row r="130" spans="1:8" s="19" customFormat="1" ht="25.5">
      <c r="A130" s="24" t="s">
        <v>38</v>
      </c>
      <c r="B130" s="59" t="s">
        <v>99</v>
      </c>
      <c r="C130" s="35" t="s">
        <v>526</v>
      </c>
      <c r="D130" s="36">
        <v>244</v>
      </c>
      <c r="E130" s="157">
        <v>10000</v>
      </c>
      <c r="F130" s="157">
        <v>7104.22</v>
      </c>
      <c r="G130" s="343">
        <f t="shared" si="9"/>
        <v>71.0422</v>
      </c>
      <c r="H130" s="377"/>
    </row>
    <row r="131" spans="1:7" ht="38.25">
      <c r="A131" s="44" t="s">
        <v>547</v>
      </c>
      <c r="B131" s="37" t="s">
        <v>99</v>
      </c>
      <c r="C131" s="35" t="s">
        <v>546</v>
      </c>
      <c r="D131" s="46"/>
      <c r="E131" s="157">
        <f>E132</f>
        <v>51.9</v>
      </c>
      <c r="F131" s="157">
        <f>F132</f>
        <v>51.9</v>
      </c>
      <c r="G131" s="343">
        <f t="shared" si="9"/>
        <v>100</v>
      </c>
    </row>
    <row r="132" spans="1:7" ht="28.5" customHeight="1">
      <c r="A132" s="21" t="s">
        <v>303</v>
      </c>
      <c r="B132" s="37" t="s">
        <v>99</v>
      </c>
      <c r="C132" s="35" t="s">
        <v>546</v>
      </c>
      <c r="D132" s="28">
        <v>240</v>
      </c>
      <c r="E132" s="157">
        <v>51.9</v>
      </c>
      <c r="F132" s="157">
        <v>51.9</v>
      </c>
      <c r="G132" s="343">
        <f t="shared" si="9"/>
        <v>100</v>
      </c>
    </row>
    <row r="133" spans="1:8" s="67" customFormat="1" ht="28.5">
      <c r="A133" s="63" t="s">
        <v>33</v>
      </c>
      <c r="B133" s="66" t="s">
        <v>32</v>
      </c>
      <c r="C133" s="64"/>
      <c r="D133" s="64"/>
      <c r="E133" s="150">
        <f>E134+E138</f>
        <v>295</v>
      </c>
      <c r="F133" s="150">
        <f>F134+F138</f>
        <v>222.83</v>
      </c>
      <c r="G133" s="343">
        <f t="shared" si="9"/>
        <v>75.535593220339</v>
      </c>
      <c r="H133" s="384"/>
    </row>
    <row r="134" spans="1:8" s="19" customFormat="1" ht="25.5">
      <c r="A134" s="13" t="s">
        <v>111</v>
      </c>
      <c r="B134" s="58" t="s">
        <v>32</v>
      </c>
      <c r="C134" s="32" t="s">
        <v>0</v>
      </c>
      <c r="D134" s="32"/>
      <c r="E134" s="152">
        <f aca="true" t="shared" si="10" ref="E134:F136">E135</f>
        <v>295</v>
      </c>
      <c r="F134" s="152">
        <f t="shared" si="10"/>
        <v>222.83</v>
      </c>
      <c r="G134" s="343">
        <f t="shared" si="9"/>
        <v>75.535593220339</v>
      </c>
      <c r="H134" s="377"/>
    </row>
    <row r="135" spans="1:8" s="16" customFormat="1" ht="25.5">
      <c r="A135" s="15" t="s">
        <v>78</v>
      </c>
      <c r="B135" s="10" t="s">
        <v>32</v>
      </c>
      <c r="C135" s="54" t="s">
        <v>74</v>
      </c>
      <c r="D135" s="54"/>
      <c r="E135" s="149">
        <f t="shared" si="10"/>
        <v>295</v>
      </c>
      <c r="F135" s="149">
        <f t="shared" si="10"/>
        <v>222.83</v>
      </c>
      <c r="G135" s="343">
        <f t="shared" si="9"/>
        <v>75.535593220339</v>
      </c>
      <c r="H135" s="379"/>
    </row>
    <row r="136" spans="1:8" s="19" customFormat="1" ht="25.5">
      <c r="A136" s="21" t="s">
        <v>178</v>
      </c>
      <c r="B136" s="59" t="s">
        <v>32</v>
      </c>
      <c r="C136" s="1" t="s">
        <v>179</v>
      </c>
      <c r="D136" s="1"/>
      <c r="E136" s="154">
        <f t="shared" si="10"/>
        <v>295</v>
      </c>
      <c r="F136" s="154">
        <f t="shared" si="10"/>
        <v>222.83</v>
      </c>
      <c r="G136" s="343">
        <f t="shared" si="9"/>
        <v>75.535593220339</v>
      </c>
      <c r="H136" s="377"/>
    </row>
    <row r="137" spans="1:8" s="19" customFormat="1" ht="27.75" customHeight="1">
      <c r="A137" s="21" t="s">
        <v>303</v>
      </c>
      <c r="B137" s="59" t="s">
        <v>32</v>
      </c>
      <c r="C137" s="1" t="s">
        <v>179</v>
      </c>
      <c r="D137" s="28">
        <v>240</v>
      </c>
      <c r="E137" s="154">
        <f>600+195-500</f>
        <v>295</v>
      </c>
      <c r="F137" s="154">
        <v>222.83</v>
      </c>
      <c r="G137" s="343">
        <f t="shared" si="9"/>
        <v>75.535593220339</v>
      </c>
      <c r="H137" s="377"/>
    </row>
    <row r="138" spans="1:8" s="16" customFormat="1" ht="38.25" hidden="1">
      <c r="A138" s="15" t="s">
        <v>329</v>
      </c>
      <c r="B138" s="10" t="s">
        <v>32</v>
      </c>
      <c r="C138" s="54" t="s">
        <v>328</v>
      </c>
      <c r="D138" s="54"/>
      <c r="E138" s="149">
        <f>E139</f>
        <v>0</v>
      </c>
      <c r="F138" s="149">
        <f>F139</f>
        <v>0</v>
      </c>
      <c r="G138" s="343"/>
      <c r="H138" s="379"/>
    </row>
    <row r="139" spans="1:8" s="19" customFormat="1" ht="12.75" hidden="1">
      <c r="A139" s="21" t="s">
        <v>331</v>
      </c>
      <c r="B139" s="59" t="s">
        <v>32</v>
      </c>
      <c r="C139" s="1" t="s">
        <v>330</v>
      </c>
      <c r="D139" s="1"/>
      <c r="E139" s="154">
        <f>E140</f>
        <v>0</v>
      </c>
      <c r="F139" s="154">
        <f>F140</f>
        <v>0</v>
      </c>
      <c r="G139" s="343"/>
      <c r="H139" s="377"/>
    </row>
    <row r="140" spans="1:8" s="19" customFormat="1" ht="27.75" customHeight="1" hidden="1">
      <c r="A140" s="21" t="s">
        <v>303</v>
      </c>
      <c r="B140" s="59" t="s">
        <v>32</v>
      </c>
      <c r="C140" s="1" t="s">
        <v>330</v>
      </c>
      <c r="D140" s="28">
        <v>240</v>
      </c>
      <c r="E140" s="154">
        <v>0</v>
      </c>
      <c r="F140" s="154">
        <v>0</v>
      </c>
      <c r="G140" s="343"/>
      <c r="H140" s="377"/>
    </row>
    <row r="141" spans="1:8" s="67" customFormat="1" ht="28.5">
      <c r="A141" s="98" t="s">
        <v>109</v>
      </c>
      <c r="B141" s="66" t="s">
        <v>81</v>
      </c>
      <c r="C141" s="64"/>
      <c r="D141" s="64"/>
      <c r="E141" s="150">
        <f>E142+E171+E208</f>
        <v>67620.42677</v>
      </c>
      <c r="F141" s="150">
        <f>F142+F171+F208</f>
        <v>65722.3349</v>
      </c>
      <c r="G141" s="343">
        <f t="shared" si="9"/>
        <v>97.1930199783328</v>
      </c>
      <c r="H141" s="384"/>
    </row>
    <row r="142" spans="1:8" s="76" customFormat="1" ht="28.5">
      <c r="A142" s="98" t="s">
        <v>25</v>
      </c>
      <c r="B142" s="66" t="s">
        <v>24</v>
      </c>
      <c r="C142" s="64"/>
      <c r="D142" s="64"/>
      <c r="E142" s="150">
        <f>E143+E151+E155</f>
        <v>21921.247900000002</v>
      </c>
      <c r="F142" s="150">
        <f>F143+F151+F155</f>
        <v>21635.8339</v>
      </c>
      <c r="G142" s="343">
        <f t="shared" si="9"/>
        <v>98.69800295447597</v>
      </c>
      <c r="H142" s="376"/>
    </row>
    <row r="143" spans="1:8" s="19" customFormat="1" ht="25.5">
      <c r="A143" s="13" t="s">
        <v>111</v>
      </c>
      <c r="B143" s="58" t="s">
        <v>24</v>
      </c>
      <c r="C143" s="32" t="s">
        <v>0</v>
      </c>
      <c r="D143" s="32"/>
      <c r="E143" s="152">
        <f>E144</f>
        <v>1279.884</v>
      </c>
      <c r="F143" s="152">
        <f>F144</f>
        <v>995.3599999999999</v>
      </c>
      <c r="G143" s="343">
        <f t="shared" si="9"/>
        <v>77.76954786527529</v>
      </c>
      <c r="H143" s="377"/>
    </row>
    <row r="144" spans="1:8" s="9" customFormat="1" ht="25.5">
      <c r="A144" s="15" t="s">
        <v>78</v>
      </c>
      <c r="B144" s="58" t="s">
        <v>24</v>
      </c>
      <c r="C144" s="11" t="s">
        <v>74</v>
      </c>
      <c r="D144" s="11"/>
      <c r="E144" s="149">
        <f>E145+E147+E149</f>
        <v>1279.884</v>
      </c>
      <c r="F144" s="149">
        <f>F145+F147+F149</f>
        <v>995.3599999999999</v>
      </c>
      <c r="G144" s="343">
        <f t="shared" si="9"/>
        <v>77.76954786527529</v>
      </c>
      <c r="H144" s="375"/>
    </row>
    <row r="145" spans="1:7" ht="38.25">
      <c r="A145" s="62" t="s">
        <v>295</v>
      </c>
      <c r="B145" s="59" t="s">
        <v>24</v>
      </c>
      <c r="C145" s="35" t="s">
        <v>189</v>
      </c>
      <c r="D145" s="46"/>
      <c r="E145" s="157">
        <f>E146</f>
        <v>407.284</v>
      </c>
      <c r="F145" s="157">
        <f>F146</f>
        <v>122.78</v>
      </c>
      <c r="G145" s="343">
        <f t="shared" si="9"/>
        <v>30.146040600661944</v>
      </c>
    </row>
    <row r="146" spans="1:7" ht="27" customHeight="1">
      <c r="A146" s="21" t="s">
        <v>303</v>
      </c>
      <c r="B146" s="59" t="s">
        <v>24</v>
      </c>
      <c r="C146" s="35" t="s">
        <v>189</v>
      </c>
      <c r="D146" s="28">
        <v>240</v>
      </c>
      <c r="E146" s="157">
        <f>(900+350)/2+144-0.0018-361.7142</f>
        <v>407.284</v>
      </c>
      <c r="F146" s="157">
        <f>94.88+27.9</f>
        <v>122.78</v>
      </c>
      <c r="G146" s="343">
        <f t="shared" si="9"/>
        <v>30.146040600661944</v>
      </c>
    </row>
    <row r="147" spans="1:7" ht="38.25">
      <c r="A147" s="3" t="s">
        <v>297</v>
      </c>
      <c r="B147" s="59" t="s">
        <v>24</v>
      </c>
      <c r="C147" s="35" t="s">
        <v>195</v>
      </c>
      <c r="D147" s="90"/>
      <c r="E147" s="157">
        <f>E148</f>
        <v>872.6</v>
      </c>
      <c r="F147" s="157">
        <f>F148</f>
        <v>872.5799999999999</v>
      </c>
      <c r="G147" s="343">
        <f t="shared" si="9"/>
        <v>99.99770799908319</v>
      </c>
    </row>
    <row r="148" spans="1:8" s="19" customFormat="1" ht="27.75" customHeight="1">
      <c r="A148" s="21" t="s">
        <v>303</v>
      </c>
      <c r="B148" s="59" t="s">
        <v>24</v>
      </c>
      <c r="C148" s="35" t="s">
        <v>195</v>
      </c>
      <c r="D148" s="28">
        <v>240</v>
      </c>
      <c r="E148" s="154">
        <f>5100/2-550-500-200-872+529.5-84.9</f>
        <v>872.6</v>
      </c>
      <c r="F148" s="154">
        <f>169.78+702.8</f>
        <v>872.5799999999999</v>
      </c>
      <c r="G148" s="343">
        <f t="shared" si="9"/>
        <v>99.99770799908319</v>
      </c>
      <c r="H148" s="377"/>
    </row>
    <row r="149" spans="1:7" ht="38.25" hidden="1">
      <c r="A149" s="3" t="s">
        <v>242</v>
      </c>
      <c r="B149" s="59" t="s">
        <v>24</v>
      </c>
      <c r="C149" s="35" t="s">
        <v>240</v>
      </c>
      <c r="D149" s="90"/>
      <c r="E149" s="157">
        <f>E150</f>
        <v>0</v>
      </c>
      <c r="F149" s="157">
        <f>F150</f>
        <v>0</v>
      </c>
      <c r="G149" s="343" t="e">
        <f t="shared" si="9"/>
        <v>#DIV/0!</v>
      </c>
    </row>
    <row r="150" spans="1:8" s="19" customFormat="1" ht="25.5" hidden="1">
      <c r="A150" s="3" t="s">
        <v>27</v>
      </c>
      <c r="B150" s="59" t="s">
        <v>24</v>
      </c>
      <c r="C150" s="35" t="s">
        <v>240</v>
      </c>
      <c r="D150" s="1" t="s">
        <v>26</v>
      </c>
      <c r="E150" s="154"/>
      <c r="F150" s="154"/>
      <c r="G150" s="343" t="e">
        <f t="shared" si="9"/>
        <v>#DIV/0!</v>
      </c>
      <c r="H150" s="377"/>
    </row>
    <row r="151" spans="1:8" s="52" customFormat="1" ht="48" customHeight="1">
      <c r="A151" s="13" t="s">
        <v>190</v>
      </c>
      <c r="B151" s="10" t="s">
        <v>24</v>
      </c>
      <c r="C151" s="11" t="s">
        <v>63</v>
      </c>
      <c r="D151" s="11"/>
      <c r="E151" s="149">
        <f aca="true" t="shared" si="11" ref="E151:F153">E152</f>
        <v>979</v>
      </c>
      <c r="F151" s="149">
        <f t="shared" si="11"/>
        <v>978.11</v>
      </c>
      <c r="G151" s="343">
        <f t="shared" si="9"/>
        <v>99.90909090909092</v>
      </c>
      <c r="H151" s="382"/>
    </row>
    <row r="152" spans="1:8" s="61" customFormat="1" ht="57" customHeight="1">
      <c r="A152" s="83" t="s">
        <v>191</v>
      </c>
      <c r="B152" s="10" t="s">
        <v>24</v>
      </c>
      <c r="C152" s="11" t="s">
        <v>192</v>
      </c>
      <c r="D152" s="11"/>
      <c r="E152" s="149">
        <f t="shared" si="11"/>
        <v>979</v>
      </c>
      <c r="F152" s="149">
        <f t="shared" si="11"/>
        <v>978.11</v>
      </c>
      <c r="G152" s="343">
        <f t="shared" si="9"/>
        <v>99.90909090909092</v>
      </c>
      <c r="H152" s="387"/>
    </row>
    <row r="153" spans="1:8" s="61" customFormat="1" ht="59.25" customHeight="1">
      <c r="A153" s="20" t="s">
        <v>241</v>
      </c>
      <c r="B153" s="59" t="s">
        <v>24</v>
      </c>
      <c r="C153" s="91" t="s">
        <v>193</v>
      </c>
      <c r="D153" s="1"/>
      <c r="E153" s="154">
        <f t="shared" si="11"/>
        <v>979</v>
      </c>
      <c r="F153" s="154">
        <f t="shared" si="11"/>
        <v>978.11</v>
      </c>
      <c r="G153" s="343">
        <f t="shared" si="9"/>
        <v>99.90909090909092</v>
      </c>
      <c r="H153" s="387"/>
    </row>
    <row r="154" spans="1:8" s="60" customFormat="1" ht="15.75" customHeight="1">
      <c r="A154" s="21" t="s">
        <v>303</v>
      </c>
      <c r="B154" s="59" t="s">
        <v>24</v>
      </c>
      <c r="C154" s="91" t="s">
        <v>193</v>
      </c>
      <c r="D154" s="36">
        <v>240</v>
      </c>
      <c r="E154" s="157">
        <f>1100-121</f>
        <v>979</v>
      </c>
      <c r="F154" s="157">
        <v>978.11</v>
      </c>
      <c r="G154" s="343">
        <f t="shared" si="9"/>
        <v>99.90909090909092</v>
      </c>
      <c r="H154" s="388"/>
    </row>
    <row r="155" spans="1:8" s="56" customFormat="1" ht="51">
      <c r="A155" s="39" t="s">
        <v>183</v>
      </c>
      <c r="B155" s="58" t="s">
        <v>24</v>
      </c>
      <c r="C155" s="40" t="s">
        <v>1</v>
      </c>
      <c r="D155" s="42"/>
      <c r="E155" s="158">
        <f>E156+E166</f>
        <v>19662.3639</v>
      </c>
      <c r="F155" s="158">
        <f>F156+F166</f>
        <v>19662.3639</v>
      </c>
      <c r="G155" s="343">
        <f t="shared" si="9"/>
        <v>100</v>
      </c>
      <c r="H155" s="381"/>
    </row>
    <row r="156" spans="1:8" s="52" customFormat="1" ht="102">
      <c r="A156" s="39" t="s">
        <v>185</v>
      </c>
      <c r="B156" s="58" t="s">
        <v>24</v>
      </c>
      <c r="C156" s="43" t="s">
        <v>184</v>
      </c>
      <c r="D156" s="45"/>
      <c r="E156" s="158">
        <f>E157+E159+E164</f>
        <v>19662.3639</v>
      </c>
      <c r="F156" s="158">
        <f>F157+F159+F164</f>
        <v>19662.3639</v>
      </c>
      <c r="G156" s="343">
        <f t="shared" si="9"/>
        <v>100</v>
      </c>
      <c r="H156" s="382"/>
    </row>
    <row r="157" spans="1:8" s="52" customFormat="1" ht="127.5">
      <c r="A157" s="44" t="s">
        <v>187</v>
      </c>
      <c r="B157" s="59" t="s">
        <v>24</v>
      </c>
      <c r="C157" s="35" t="s">
        <v>245</v>
      </c>
      <c r="D157" s="45"/>
      <c r="E157" s="158">
        <f>E158</f>
        <v>5355.6794199999995</v>
      </c>
      <c r="F157" s="158">
        <f>F158</f>
        <v>5355.6794199999995</v>
      </c>
      <c r="G157" s="343">
        <f t="shared" si="9"/>
        <v>100</v>
      </c>
      <c r="H157" s="382"/>
    </row>
    <row r="158" spans="1:7" ht="12.75">
      <c r="A158" s="24" t="s">
        <v>309</v>
      </c>
      <c r="B158" s="59" t="s">
        <v>24</v>
      </c>
      <c r="C158" s="35" t="s">
        <v>245</v>
      </c>
      <c r="D158" s="36">
        <v>410</v>
      </c>
      <c r="E158" s="157">
        <f>1050.57729+4313.31619-8.21406</f>
        <v>5355.6794199999995</v>
      </c>
      <c r="F158" s="157">
        <f>1050.57729+4313.31619-8.21406</f>
        <v>5355.6794199999995</v>
      </c>
      <c r="G158" s="343">
        <f t="shared" si="9"/>
        <v>100</v>
      </c>
    </row>
    <row r="159" spans="1:7" ht="108" customHeight="1">
      <c r="A159" s="100" t="s">
        <v>248</v>
      </c>
      <c r="B159" s="101" t="s">
        <v>24</v>
      </c>
      <c r="C159" s="102" t="s">
        <v>186</v>
      </c>
      <c r="D159" s="103"/>
      <c r="E159" s="159">
        <f>E160+E162</f>
        <v>11271.336879999999</v>
      </c>
      <c r="F159" s="159">
        <f>F160+F162</f>
        <v>11271.336879999999</v>
      </c>
      <c r="G159" s="343">
        <f t="shared" si="9"/>
        <v>100</v>
      </c>
    </row>
    <row r="160" spans="1:7" ht="140.25">
      <c r="A160" s="44" t="s">
        <v>246</v>
      </c>
      <c r="B160" s="59" t="s">
        <v>24</v>
      </c>
      <c r="C160" s="35" t="s">
        <v>186</v>
      </c>
      <c r="D160" s="46"/>
      <c r="E160" s="157">
        <f>E161</f>
        <v>4508.53475</v>
      </c>
      <c r="F160" s="157">
        <f>F161</f>
        <v>4508.53475</v>
      </c>
      <c r="G160" s="343">
        <f t="shared" si="9"/>
        <v>100</v>
      </c>
    </row>
    <row r="161" spans="1:7" ht="12.75">
      <c r="A161" s="24" t="s">
        <v>309</v>
      </c>
      <c r="B161" s="59" t="s">
        <v>24</v>
      </c>
      <c r="C161" s="35" t="s">
        <v>186</v>
      </c>
      <c r="D161" s="36">
        <v>410</v>
      </c>
      <c r="E161" s="157">
        <f>4515.44952-6.91477</f>
        <v>4508.53475</v>
      </c>
      <c r="F161" s="157">
        <f>4515.44952-6.91477</f>
        <v>4508.53475</v>
      </c>
      <c r="G161" s="343">
        <f t="shared" si="9"/>
        <v>100</v>
      </c>
    </row>
    <row r="162" spans="1:7" ht="140.25">
      <c r="A162" s="44" t="s">
        <v>247</v>
      </c>
      <c r="B162" s="59" t="s">
        <v>24</v>
      </c>
      <c r="C162" s="35" t="s">
        <v>186</v>
      </c>
      <c r="D162" s="46"/>
      <c r="E162" s="157">
        <f>E163</f>
        <v>6762.80213</v>
      </c>
      <c r="F162" s="157">
        <f>F163</f>
        <v>6762.80213</v>
      </c>
      <c r="G162" s="343">
        <f t="shared" si="9"/>
        <v>100</v>
      </c>
    </row>
    <row r="163" spans="1:7" ht="12.75">
      <c r="A163" s="24" t="s">
        <v>309</v>
      </c>
      <c r="B163" s="59" t="s">
        <v>24</v>
      </c>
      <c r="C163" s="35" t="s">
        <v>186</v>
      </c>
      <c r="D163" s="36">
        <v>410</v>
      </c>
      <c r="E163" s="157">
        <f>2387.41575+4385.75856-10.37218</f>
        <v>6762.80213</v>
      </c>
      <c r="F163" s="157">
        <f>2387.41575+4385.75856-10.37218</f>
        <v>6762.80213</v>
      </c>
      <c r="G163" s="343">
        <f t="shared" si="9"/>
        <v>100</v>
      </c>
    </row>
    <row r="164" spans="1:8" s="56" customFormat="1" ht="93" customHeight="1">
      <c r="A164" s="44" t="s">
        <v>188</v>
      </c>
      <c r="B164" s="59" t="s">
        <v>24</v>
      </c>
      <c r="C164" s="35" t="s">
        <v>220</v>
      </c>
      <c r="D164" s="46"/>
      <c r="E164" s="157">
        <f>E165</f>
        <v>3035.3476</v>
      </c>
      <c r="F164" s="157">
        <f>F165</f>
        <v>3035.3476</v>
      </c>
      <c r="G164" s="343">
        <f t="shared" si="9"/>
        <v>100</v>
      </c>
      <c r="H164" s="381"/>
    </row>
    <row r="165" spans="1:8" s="52" customFormat="1" ht="14.25" customHeight="1">
      <c r="A165" s="3" t="s">
        <v>308</v>
      </c>
      <c r="B165" s="59" t="s">
        <v>24</v>
      </c>
      <c r="C165" s="35" t="s">
        <v>220</v>
      </c>
      <c r="D165" s="36">
        <v>410</v>
      </c>
      <c r="E165" s="157">
        <f>2340.9918+668.8548+25.501</f>
        <v>3035.3476</v>
      </c>
      <c r="F165" s="157">
        <f>2340.9918+668.8548+25.501</f>
        <v>3035.3476</v>
      </c>
      <c r="G165" s="343">
        <f t="shared" si="9"/>
        <v>100</v>
      </c>
      <c r="H165" s="382"/>
    </row>
    <row r="166" spans="1:8" s="52" customFormat="1" ht="63.75" hidden="1">
      <c r="A166" s="39" t="s">
        <v>262</v>
      </c>
      <c r="B166" s="58" t="s">
        <v>24</v>
      </c>
      <c r="C166" s="43" t="s">
        <v>263</v>
      </c>
      <c r="D166" s="45"/>
      <c r="E166" s="158">
        <f>E167+E169</f>
        <v>0</v>
      </c>
      <c r="F166" s="158">
        <f>F167+F169</f>
        <v>0</v>
      </c>
      <c r="G166" s="343" t="e">
        <f t="shared" si="9"/>
        <v>#DIV/0!</v>
      </c>
      <c r="H166" s="382"/>
    </row>
    <row r="167" spans="1:8" s="52" customFormat="1" ht="89.25" hidden="1">
      <c r="A167" s="44" t="s">
        <v>269</v>
      </c>
      <c r="B167" s="59" t="s">
        <v>24</v>
      </c>
      <c r="C167" s="35" t="s">
        <v>264</v>
      </c>
      <c r="D167" s="45"/>
      <c r="E167" s="158">
        <f>E168</f>
        <v>0</v>
      </c>
      <c r="F167" s="158">
        <f>F168</f>
        <v>0</v>
      </c>
      <c r="G167" s="343" t="e">
        <f t="shared" si="9"/>
        <v>#DIV/0!</v>
      </c>
      <c r="H167" s="382"/>
    </row>
    <row r="168" spans="1:7" ht="25.5" hidden="1">
      <c r="A168" s="3" t="s">
        <v>27</v>
      </c>
      <c r="B168" s="59" t="s">
        <v>24</v>
      </c>
      <c r="C168" s="35" t="s">
        <v>264</v>
      </c>
      <c r="D168" s="36">
        <v>414</v>
      </c>
      <c r="E168" s="157">
        <v>0</v>
      </c>
      <c r="F168" s="157">
        <v>0</v>
      </c>
      <c r="G168" s="343" t="e">
        <f t="shared" si="9"/>
        <v>#DIV/0!</v>
      </c>
    </row>
    <row r="169" spans="1:8" s="52" customFormat="1" ht="38.25" hidden="1">
      <c r="A169" s="44" t="s">
        <v>281</v>
      </c>
      <c r="B169" s="59" t="s">
        <v>24</v>
      </c>
      <c r="C169" s="35" t="s">
        <v>280</v>
      </c>
      <c r="D169" s="45"/>
      <c r="E169" s="158">
        <f>E170</f>
        <v>0</v>
      </c>
      <c r="F169" s="158">
        <f>F170</f>
        <v>0</v>
      </c>
      <c r="G169" s="343" t="e">
        <f t="shared" si="9"/>
        <v>#DIV/0!</v>
      </c>
      <c r="H169" s="382"/>
    </row>
    <row r="170" spans="1:7" ht="25.5" hidden="1">
      <c r="A170" s="3" t="s">
        <v>27</v>
      </c>
      <c r="B170" s="59" t="s">
        <v>24</v>
      </c>
      <c r="C170" s="35" t="s">
        <v>280</v>
      </c>
      <c r="D170" s="36">
        <v>414</v>
      </c>
      <c r="E170" s="157">
        <v>0</v>
      </c>
      <c r="F170" s="157">
        <v>0</v>
      </c>
      <c r="G170" s="343" t="e">
        <f t="shared" si="9"/>
        <v>#DIV/0!</v>
      </c>
    </row>
    <row r="171" spans="1:8" s="77" customFormat="1" ht="28.5">
      <c r="A171" s="98" t="s">
        <v>66</v>
      </c>
      <c r="B171" s="66" t="s">
        <v>65</v>
      </c>
      <c r="C171" s="64"/>
      <c r="D171" s="64"/>
      <c r="E171" s="150">
        <f>E172+E186</f>
        <v>29551.04687</v>
      </c>
      <c r="F171" s="150">
        <f>F172+F186</f>
        <v>27987.371999999996</v>
      </c>
      <c r="G171" s="343">
        <f t="shared" si="9"/>
        <v>94.70856353455474</v>
      </c>
      <c r="H171" s="389"/>
    </row>
    <row r="172" spans="1:7" ht="25.5">
      <c r="A172" s="13" t="s">
        <v>111</v>
      </c>
      <c r="B172" s="58" t="s">
        <v>65</v>
      </c>
      <c r="C172" s="32" t="s">
        <v>0</v>
      </c>
      <c r="D172" s="32"/>
      <c r="E172" s="152">
        <f>E173</f>
        <v>10862.042669999999</v>
      </c>
      <c r="F172" s="152">
        <f>F173</f>
        <v>9565.862</v>
      </c>
      <c r="G172" s="343">
        <f t="shared" si="9"/>
        <v>88.06687922907966</v>
      </c>
    </row>
    <row r="173" spans="1:7" ht="25.5">
      <c r="A173" s="15" t="s">
        <v>78</v>
      </c>
      <c r="B173" s="58" t="s">
        <v>65</v>
      </c>
      <c r="C173" s="11" t="s">
        <v>74</v>
      </c>
      <c r="D173" s="11"/>
      <c r="E173" s="149">
        <f>E176+E178+E182+E174+E184+E180</f>
        <v>10862.042669999999</v>
      </c>
      <c r="F173" s="149">
        <f>F176+F178+F182+F174+F184+F180</f>
        <v>9565.862</v>
      </c>
      <c r="G173" s="343">
        <f t="shared" si="9"/>
        <v>88.06687922907966</v>
      </c>
    </row>
    <row r="174" spans="1:7" ht="38.25">
      <c r="A174" s="62" t="s">
        <v>295</v>
      </c>
      <c r="B174" s="59" t="s">
        <v>65</v>
      </c>
      <c r="C174" s="35" t="s">
        <v>189</v>
      </c>
      <c r="D174" s="46"/>
      <c r="E174" s="157">
        <f>E175</f>
        <v>352.66220000000004</v>
      </c>
      <c r="F174" s="157">
        <f>F175</f>
        <v>352.55</v>
      </c>
      <c r="G174" s="343">
        <f aca="true" t="shared" si="12" ref="G174:G237">F174/E174*100</f>
        <v>99.9681848522467</v>
      </c>
    </row>
    <row r="175" spans="1:7" ht="31.5" customHeight="1">
      <c r="A175" s="21" t="s">
        <v>303</v>
      </c>
      <c r="B175" s="59" t="s">
        <v>65</v>
      </c>
      <c r="C175" s="35" t="s">
        <v>189</v>
      </c>
      <c r="D175" s="28">
        <v>240</v>
      </c>
      <c r="E175" s="157">
        <f>300+495-0.0036-114.6342-327.7</f>
        <v>352.66220000000004</v>
      </c>
      <c r="F175" s="157">
        <f>53.01+299.54</f>
        <v>352.55</v>
      </c>
      <c r="G175" s="343">
        <f t="shared" si="12"/>
        <v>99.9681848522467</v>
      </c>
    </row>
    <row r="176" spans="1:7" ht="25.5">
      <c r="A176" s="3" t="s">
        <v>196</v>
      </c>
      <c r="B176" s="59" t="s">
        <v>65</v>
      </c>
      <c r="C176" s="35" t="s">
        <v>135</v>
      </c>
      <c r="D176" s="36"/>
      <c r="E176" s="157">
        <f>E177</f>
        <v>655.2825</v>
      </c>
      <c r="F176" s="157">
        <v>655.28</v>
      </c>
      <c r="G176" s="343">
        <f t="shared" si="12"/>
        <v>99.99961848515716</v>
      </c>
    </row>
    <row r="177" spans="1:7" ht="38.25">
      <c r="A177" s="21" t="s">
        <v>34</v>
      </c>
      <c r="B177" s="59" t="s">
        <v>65</v>
      </c>
      <c r="C177" s="35" t="s">
        <v>135</v>
      </c>
      <c r="D177" s="36">
        <v>810</v>
      </c>
      <c r="E177" s="157">
        <f>500+230-74.7175</f>
        <v>655.2825</v>
      </c>
      <c r="F177" s="157">
        <f>500+230-74.7175</f>
        <v>655.2825</v>
      </c>
      <c r="G177" s="343">
        <f t="shared" si="12"/>
        <v>100</v>
      </c>
    </row>
    <row r="178" spans="1:8" s="60" customFormat="1" ht="25.5">
      <c r="A178" s="118" t="s">
        <v>286</v>
      </c>
      <c r="B178" s="18" t="s">
        <v>65</v>
      </c>
      <c r="C178" s="1" t="s">
        <v>285</v>
      </c>
      <c r="D178" s="90"/>
      <c r="E178" s="157">
        <f>E179</f>
        <v>2380.49397</v>
      </c>
      <c r="F178" s="157">
        <f>F179</f>
        <v>2380.49</v>
      </c>
      <c r="G178" s="343">
        <f t="shared" si="12"/>
        <v>99.99983322789092</v>
      </c>
      <c r="H178" s="388"/>
    </row>
    <row r="179" spans="1:8" s="60" customFormat="1" ht="29.25" customHeight="1">
      <c r="A179" s="21" t="s">
        <v>303</v>
      </c>
      <c r="B179" s="18" t="s">
        <v>65</v>
      </c>
      <c r="C179" s="1" t="s">
        <v>285</v>
      </c>
      <c r="D179" s="28">
        <v>240</v>
      </c>
      <c r="E179" s="157">
        <f>293.5936+1894.272+1245.33-1052.70163</f>
        <v>2380.49397</v>
      </c>
      <c r="F179" s="157">
        <v>2380.49</v>
      </c>
      <c r="G179" s="343">
        <f t="shared" si="12"/>
        <v>99.99983322789092</v>
      </c>
      <c r="H179" s="388"/>
    </row>
    <row r="180" spans="1:8" s="60" customFormat="1" ht="25.5" customHeight="1">
      <c r="A180" s="118" t="s">
        <v>533</v>
      </c>
      <c r="B180" s="18" t="s">
        <v>65</v>
      </c>
      <c r="C180" s="1" t="s">
        <v>534</v>
      </c>
      <c r="D180" s="90"/>
      <c r="E180" s="157">
        <f>E181</f>
        <v>1000</v>
      </c>
      <c r="F180" s="157">
        <f>F181</f>
        <v>1000</v>
      </c>
      <c r="G180" s="343">
        <f t="shared" si="12"/>
        <v>100</v>
      </c>
      <c r="H180" s="388"/>
    </row>
    <row r="181" spans="1:8" s="60" customFormat="1" ht="25.5">
      <c r="A181" s="24" t="s">
        <v>38</v>
      </c>
      <c r="B181" s="18" t="s">
        <v>65</v>
      </c>
      <c r="C181" s="1" t="s">
        <v>534</v>
      </c>
      <c r="D181" s="90">
        <v>240</v>
      </c>
      <c r="E181" s="157">
        <v>1000</v>
      </c>
      <c r="F181" s="157">
        <v>1000</v>
      </c>
      <c r="G181" s="343">
        <f t="shared" si="12"/>
        <v>100</v>
      </c>
      <c r="H181" s="388"/>
    </row>
    <row r="182" spans="1:8" s="60" customFormat="1" ht="25.5">
      <c r="A182" s="118" t="s">
        <v>542</v>
      </c>
      <c r="B182" s="18" t="s">
        <v>65</v>
      </c>
      <c r="C182" s="1" t="s">
        <v>284</v>
      </c>
      <c r="D182" s="90"/>
      <c r="E182" s="157">
        <f>E183</f>
        <v>270.672</v>
      </c>
      <c r="F182" s="157">
        <f>F183</f>
        <v>270.672</v>
      </c>
      <c r="G182" s="343">
        <f t="shared" si="12"/>
        <v>100</v>
      </c>
      <c r="H182" s="388"/>
    </row>
    <row r="183" spans="1:8" s="60" customFormat="1" ht="25.5">
      <c r="A183" s="24" t="s">
        <v>38</v>
      </c>
      <c r="B183" s="18" t="s">
        <v>65</v>
      </c>
      <c r="C183" s="1" t="s">
        <v>284</v>
      </c>
      <c r="D183" s="90">
        <v>244</v>
      </c>
      <c r="E183" s="157">
        <v>270.672</v>
      </c>
      <c r="F183" s="157">
        <v>270.672</v>
      </c>
      <c r="G183" s="343">
        <f t="shared" si="12"/>
        <v>100</v>
      </c>
      <c r="H183" s="388"/>
    </row>
    <row r="184" spans="1:8" s="60" customFormat="1" ht="25.5">
      <c r="A184" s="24" t="s">
        <v>529</v>
      </c>
      <c r="B184" s="18" t="s">
        <v>65</v>
      </c>
      <c r="C184" s="1" t="s">
        <v>526</v>
      </c>
      <c r="D184" s="90"/>
      <c r="E184" s="157">
        <f>E185</f>
        <v>6202.932</v>
      </c>
      <c r="F184" s="157">
        <f>F185</f>
        <v>4906.87</v>
      </c>
      <c r="G184" s="343">
        <f t="shared" si="12"/>
        <v>79.10565519660703</v>
      </c>
      <c r="H184" s="388"/>
    </row>
    <row r="185" spans="1:8" s="60" customFormat="1" ht="28.5" customHeight="1">
      <c r="A185" s="21" t="s">
        <v>303</v>
      </c>
      <c r="B185" s="18" t="s">
        <v>65</v>
      </c>
      <c r="C185" s="1" t="s">
        <v>526</v>
      </c>
      <c r="D185" s="90">
        <v>240</v>
      </c>
      <c r="E185" s="157">
        <v>6202.932</v>
      </c>
      <c r="F185" s="157">
        <v>4906.87</v>
      </c>
      <c r="G185" s="343">
        <f t="shared" si="12"/>
        <v>79.10565519660703</v>
      </c>
      <c r="H185" s="388"/>
    </row>
    <row r="186" spans="1:8" s="52" customFormat="1" ht="48" customHeight="1">
      <c r="A186" s="13" t="s">
        <v>190</v>
      </c>
      <c r="B186" s="10" t="s">
        <v>65</v>
      </c>
      <c r="C186" s="11" t="s">
        <v>63</v>
      </c>
      <c r="D186" s="11"/>
      <c r="E186" s="149">
        <f>E187+E193+E204</f>
        <v>18689.0042</v>
      </c>
      <c r="F186" s="149">
        <f>F187+F193+F204</f>
        <v>18421.51</v>
      </c>
      <c r="G186" s="343">
        <f t="shared" si="12"/>
        <v>98.56870811768557</v>
      </c>
      <c r="H186" s="382"/>
    </row>
    <row r="187" spans="1:8" s="52" customFormat="1" ht="70.5" customHeight="1">
      <c r="A187" s="15" t="s">
        <v>197</v>
      </c>
      <c r="B187" s="10" t="s">
        <v>65</v>
      </c>
      <c r="C187" s="11" t="s">
        <v>67</v>
      </c>
      <c r="D187" s="11"/>
      <c r="E187" s="149">
        <f>E188</f>
        <v>13676.524270000002</v>
      </c>
      <c r="F187" s="149">
        <f>F188</f>
        <v>13656.36</v>
      </c>
      <c r="G187" s="343">
        <f t="shared" si="12"/>
        <v>99.85256290558975</v>
      </c>
      <c r="H187" s="382"/>
    </row>
    <row r="188" spans="1:7" ht="79.5" customHeight="1">
      <c r="A188" s="17" t="s">
        <v>198</v>
      </c>
      <c r="B188" s="18" t="s">
        <v>65</v>
      </c>
      <c r="C188" s="1" t="s">
        <v>199</v>
      </c>
      <c r="D188" s="1"/>
      <c r="E188" s="154">
        <f>E189+E190+E191</f>
        <v>13676.524270000002</v>
      </c>
      <c r="F188" s="154">
        <f>F189+F190+F191</f>
        <v>13656.36</v>
      </c>
      <c r="G188" s="343">
        <f t="shared" si="12"/>
        <v>99.85256290558975</v>
      </c>
    </row>
    <row r="189" spans="1:8" s="9" customFormat="1" ht="29.25" customHeight="1">
      <c r="A189" s="21" t="s">
        <v>303</v>
      </c>
      <c r="B189" s="18" t="s">
        <v>65</v>
      </c>
      <c r="C189" s="1" t="s">
        <v>199</v>
      </c>
      <c r="D189" s="28">
        <v>240</v>
      </c>
      <c r="E189" s="154">
        <f>3350/2-529.20454-738.44576</f>
        <v>407.3497000000001</v>
      </c>
      <c r="F189" s="154">
        <f>326.54+80.81</f>
        <v>407.35</v>
      </c>
      <c r="G189" s="343">
        <f t="shared" si="12"/>
        <v>100.00007364679536</v>
      </c>
      <c r="H189" s="375"/>
    </row>
    <row r="190" spans="1:8" s="60" customFormat="1" ht="38.25">
      <c r="A190" s="21" t="s">
        <v>34</v>
      </c>
      <c r="B190" s="18" t="s">
        <v>65</v>
      </c>
      <c r="C190" s="1" t="s">
        <v>199</v>
      </c>
      <c r="D190" s="36">
        <v>810</v>
      </c>
      <c r="E190" s="157">
        <f>529.20454+806.18003</f>
        <v>1335.38457</v>
      </c>
      <c r="F190" s="157">
        <f>1324.91</f>
        <v>1324.91</v>
      </c>
      <c r="G190" s="343">
        <f t="shared" si="12"/>
        <v>99.21561397103758</v>
      </c>
      <c r="H190" s="388"/>
    </row>
    <row r="191" spans="1:8" s="61" customFormat="1" ht="82.5" customHeight="1">
      <c r="A191" s="20" t="s">
        <v>290</v>
      </c>
      <c r="B191" s="18" t="s">
        <v>65</v>
      </c>
      <c r="C191" s="1" t="s">
        <v>527</v>
      </c>
      <c r="D191" s="1"/>
      <c r="E191" s="154">
        <f>E192</f>
        <v>11933.79</v>
      </c>
      <c r="F191" s="154">
        <f>F192</f>
        <v>11924.1</v>
      </c>
      <c r="G191" s="343">
        <f t="shared" si="12"/>
        <v>99.91880198997971</v>
      </c>
      <c r="H191" s="387"/>
    </row>
    <row r="192" spans="1:8" s="60" customFormat="1" ht="38.25">
      <c r="A192" s="21" t="s">
        <v>34</v>
      </c>
      <c r="B192" s="18" t="s">
        <v>65</v>
      </c>
      <c r="C192" s="1" t="s">
        <v>527</v>
      </c>
      <c r="D192" s="36">
        <v>810</v>
      </c>
      <c r="E192" s="157">
        <f>4761.801-629.271+7801.26</f>
        <v>11933.79</v>
      </c>
      <c r="F192" s="157">
        <v>11924.1</v>
      </c>
      <c r="G192" s="343">
        <f t="shared" si="12"/>
        <v>99.91880198997971</v>
      </c>
      <c r="H192" s="388"/>
    </row>
    <row r="193" spans="1:8" s="61" customFormat="1" ht="79.5" customHeight="1">
      <c r="A193" s="15" t="s">
        <v>200</v>
      </c>
      <c r="B193" s="10" t="s">
        <v>65</v>
      </c>
      <c r="C193" s="11" t="s">
        <v>201</v>
      </c>
      <c r="D193" s="11"/>
      <c r="E193" s="149">
        <f>E194+E199+E197+E201</f>
        <v>4164.87993</v>
      </c>
      <c r="F193" s="149">
        <f>F194+F199+F197+F201</f>
        <v>3998.69</v>
      </c>
      <c r="G193" s="343">
        <f t="shared" si="12"/>
        <v>96.00973058543852</v>
      </c>
      <c r="H193" s="387"/>
    </row>
    <row r="194" spans="1:8" s="61" customFormat="1" ht="81" customHeight="1">
      <c r="A194" s="20" t="s">
        <v>291</v>
      </c>
      <c r="B194" s="18" t="s">
        <v>65</v>
      </c>
      <c r="C194" s="1" t="s">
        <v>202</v>
      </c>
      <c r="D194" s="1"/>
      <c r="E194" s="154">
        <f>E195+E196</f>
        <v>1059.26573</v>
      </c>
      <c r="F194" s="154">
        <f>F195+F196</f>
        <v>1058.93</v>
      </c>
      <c r="G194" s="343">
        <f t="shared" si="12"/>
        <v>99.9683054034043</v>
      </c>
      <c r="H194" s="387"/>
    </row>
    <row r="195" spans="1:8" s="60" customFormat="1" ht="25.5" hidden="1">
      <c r="A195" s="21" t="s">
        <v>34</v>
      </c>
      <c r="B195" s="18" t="s">
        <v>65</v>
      </c>
      <c r="C195" s="1" t="s">
        <v>202</v>
      </c>
      <c r="D195" s="36">
        <v>810</v>
      </c>
      <c r="E195" s="157"/>
      <c r="F195" s="157"/>
      <c r="G195" s="343"/>
      <c r="H195" s="388"/>
    </row>
    <row r="196" spans="1:7" ht="31.5" customHeight="1">
      <c r="A196" s="21" t="s">
        <v>303</v>
      </c>
      <c r="B196" s="18" t="s">
        <v>65</v>
      </c>
      <c r="C196" s="1" t="s">
        <v>202</v>
      </c>
      <c r="D196" s="28">
        <v>240</v>
      </c>
      <c r="E196" s="154">
        <f>1690-67.73427-563</f>
        <v>1059.26573</v>
      </c>
      <c r="F196" s="154">
        <f>1029.72+29.21</f>
        <v>1058.93</v>
      </c>
      <c r="G196" s="343">
        <f t="shared" si="12"/>
        <v>99.9683054034043</v>
      </c>
    </row>
    <row r="197" spans="1:7" ht="78" customHeight="1">
      <c r="A197" s="21" t="s">
        <v>550</v>
      </c>
      <c r="B197" s="18" t="s">
        <v>65</v>
      </c>
      <c r="C197" s="1" t="s">
        <v>318</v>
      </c>
      <c r="D197" s="28"/>
      <c r="E197" s="154">
        <f>E198</f>
        <v>2135.6142</v>
      </c>
      <c r="F197" s="154">
        <f>F198</f>
        <v>1969.76</v>
      </c>
      <c r="G197" s="343">
        <f t="shared" si="12"/>
        <v>92.2338875626506</v>
      </c>
    </row>
    <row r="198" spans="1:7" ht="15.75" customHeight="1">
      <c r="A198" s="24" t="s">
        <v>309</v>
      </c>
      <c r="B198" s="18" t="s">
        <v>65</v>
      </c>
      <c r="C198" s="1" t="s">
        <v>318</v>
      </c>
      <c r="D198" s="28">
        <v>410</v>
      </c>
      <c r="E198" s="154">
        <f>470+1665.6142</f>
        <v>2135.6142</v>
      </c>
      <c r="F198" s="154">
        <v>1969.76</v>
      </c>
      <c r="G198" s="343">
        <f t="shared" si="12"/>
        <v>92.2338875626506</v>
      </c>
    </row>
    <row r="199" spans="1:8" s="61" customFormat="1" ht="89.25" hidden="1">
      <c r="A199" s="20" t="s">
        <v>290</v>
      </c>
      <c r="B199" s="18" t="s">
        <v>65</v>
      </c>
      <c r="C199" s="1" t="s">
        <v>267</v>
      </c>
      <c r="D199" s="1"/>
      <c r="E199" s="154">
        <f>E200</f>
        <v>0</v>
      </c>
      <c r="F199" s="154">
        <f>F200</f>
        <v>0</v>
      </c>
      <c r="G199" s="343" t="e">
        <f t="shared" si="12"/>
        <v>#DIV/0!</v>
      </c>
      <c r="H199" s="387"/>
    </row>
    <row r="200" spans="1:8" s="60" customFormat="1" ht="25.5" hidden="1">
      <c r="A200" s="21" t="s">
        <v>34</v>
      </c>
      <c r="B200" s="18" t="s">
        <v>65</v>
      </c>
      <c r="C200" s="1" t="s">
        <v>267</v>
      </c>
      <c r="D200" s="36">
        <v>810</v>
      </c>
      <c r="E200" s="157"/>
      <c r="F200" s="157"/>
      <c r="G200" s="343" t="e">
        <f t="shared" si="12"/>
        <v>#DIV/0!</v>
      </c>
      <c r="H200" s="388"/>
    </row>
    <row r="201" spans="1:7" ht="27" customHeight="1">
      <c r="A201" s="21" t="s">
        <v>339</v>
      </c>
      <c r="B201" s="18" t="s">
        <v>65</v>
      </c>
      <c r="C201" s="1" t="s">
        <v>332</v>
      </c>
      <c r="D201" s="28"/>
      <c r="E201" s="154">
        <f>E202+E203</f>
        <v>970</v>
      </c>
      <c r="F201" s="154">
        <f>F202+F203</f>
        <v>970</v>
      </c>
      <c r="G201" s="343">
        <f t="shared" si="12"/>
        <v>100</v>
      </c>
    </row>
    <row r="202" spans="1:7" ht="31.5" customHeight="1">
      <c r="A202" s="21" t="s">
        <v>303</v>
      </c>
      <c r="B202" s="18" t="s">
        <v>65</v>
      </c>
      <c r="C202" s="1" t="s">
        <v>332</v>
      </c>
      <c r="D202" s="28">
        <v>240</v>
      </c>
      <c r="E202" s="154">
        <f>500</f>
        <v>500</v>
      </c>
      <c r="F202" s="154">
        <f>500</f>
        <v>500</v>
      </c>
      <c r="G202" s="343">
        <f t="shared" si="12"/>
        <v>100</v>
      </c>
    </row>
    <row r="203" spans="1:7" ht="20.25" customHeight="1">
      <c r="A203" s="24" t="s">
        <v>309</v>
      </c>
      <c r="B203" s="18" t="s">
        <v>65</v>
      </c>
      <c r="C203" s="1" t="s">
        <v>332</v>
      </c>
      <c r="D203" s="30">
        <v>410</v>
      </c>
      <c r="E203" s="154">
        <v>470</v>
      </c>
      <c r="F203" s="154">
        <v>470</v>
      </c>
      <c r="G203" s="343">
        <f t="shared" si="12"/>
        <v>100</v>
      </c>
    </row>
    <row r="204" spans="1:8" s="61" customFormat="1" ht="75.75" customHeight="1">
      <c r="A204" s="83" t="s">
        <v>232</v>
      </c>
      <c r="B204" s="10" t="s">
        <v>65</v>
      </c>
      <c r="C204" s="11" t="s">
        <v>230</v>
      </c>
      <c r="D204" s="11"/>
      <c r="E204" s="149">
        <f>E205</f>
        <v>847.6</v>
      </c>
      <c r="F204" s="149">
        <f>F205</f>
        <v>766.46</v>
      </c>
      <c r="G204" s="343">
        <f t="shared" si="12"/>
        <v>90.42708824917413</v>
      </c>
      <c r="H204" s="387"/>
    </row>
    <row r="205" spans="1:8" s="61" customFormat="1" ht="84" customHeight="1">
      <c r="A205" s="20" t="s">
        <v>231</v>
      </c>
      <c r="B205" s="59" t="s">
        <v>65</v>
      </c>
      <c r="C205" s="91" t="s">
        <v>229</v>
      </c>
      <c r="D205" s="1"/>
      <c r="E205" s="154">
        <f>E206+E207</f>
        <v>847.6</v>
      </c>
      <c r="F205" s="154">
        <f>F206+F207</f>
        <v>766.46</v>
      </c>
      <c r="G205" s="343">
        <f t="shared" si="12"/>
        <v>90.42708824917413</v>
      </c>
      <c r="H205" s="387"/>
    </row>
    <row r="206" spans="1:8" s="60" customFormat="1" ht="25.5">
      <c r="A206" s="24" t="s">
        <v>38</v>
      </c>
      <c r="B206" s="59" t="s">
        <v>65</v>
      </c>
      <c r="C206" s="91" t="s">
        <v>229</v>
      </c>
      <c r="D206" s="28">
        <v>240</v>
      </c>
      <c r="E206" s="157">
        <f>1200-500-291</f>
        <v>409</v>
      </c>
      <c r="F206" s="157">
        <v>327.87</v>
      </c>
      <c r="G206" s="343">
        <f t="shared" si="12"/>
        <v>80.1638141809291</v>
      </c>
      <c r="H206" s="388"/>
    </row>
    <row r="207" spans="1:8" s="60" customFormat="1" ht="25.5">
      <c r="A207" s="24" t="s">
        <v>309</v>
      </c>
      <c r="B207" s="59" t="s">
        <v>65</v>
      </c>
      <c r="C207" s="91" t="s">
        <v>229</v>
      </c>
      <c r="D207" s="36">
        <v>410</v>
      </c>
      <c r="E207" s="157">
        <f>1000-200-361.4</f>
        <v>438.6</v>
      </c>
      <c r="F207" s="157">
        <v>438.59</v>
      </c>
      <c r="G207" s="343">
        <f t="shared" si="12"/>
        <v>99.99772001823985</v>
      </c>
      <c r="H207" s="388"/>
    </row>
    <row r="208" spans="1:8" s="78" customFormat="1" ht="28.5">
      <c r="A208" s="75" t="s">
        <v>100</v>
      </c>
      <c r="B208" s="66" t="s">
        <v>101</v>
      </c>
      <c r="C208" s="64"/>
      <c r="D208" s="64"/>
      <c r="E208" s="152">
        <f>E209+E229+E244+E248</f>
        <v>16148.132</v>
      </c>
      <c r="F208" s="152">
        <f>F209+F229+F244+F248</f>
        <v>16099.129</v>
      </c>
      <c r="G208" s="343">
        <f t="shared" si="12"/>
        <v>99.69654075158662</v>
      </c>
      <c r="H208" s="390"/>
    </row>
    <row r="209" spans="1:7" ht="25.5">
      <c r="A209" s="15" t="s">
        <v>78</v>
      </c>
      <c r="B209" s="58" t="s">
        <v>101</v>
      </c>
      <c r="C209" s="11" t="s">
        <v>74</v>
      </c>
      <c r="D209" s="11"/>
      <c r="E209" s="149">
        <f>E210+E217+E219+E221+E225+E223+E227+E215</f>
        <v>7388.4</v>
      </c>
      <c r="F209" s="149">
        <f>F210+F217+F219+F221+F225+F223+F227+F215</f>
        <v>7347.64</v>
      </c>
      <c r="G209" s="343">
        <f t="shared" si="12"/>
        <v>99.44832440041147</v>
      </c>
    </row>
    <row r="210" spans="1:8" s="9" customFormat="1" ht="38.25">
      <c r="A210" s="38" t="s">
        <v>114</v>
      </c>
      <c r="B210" s="29" t="s">
        <v>101</v>
      </c>
      <c r="C210" s="28" t="s">
        <v>75</v>
      </c>
      <c r="D210" s="28"/>
      <c r="E210" s="153">
        <f>E211+E212+E213+E214</f>
        <v>1676.4</v>
      </c>
      <c r="F210" s="153">
        <f>F211+F212+F213+F214</f>
        <v>1676.17</v>
      </c>
      <c r="G210" s="343">
        <f t="shared" si="12"/>
        <v>99.98628012407539</v>
      </c>
      <c r="H210" s="375"/>
    </row>
    <row r="211" spans="1:8" s="57" customFormat="1" ht="18.75" customHeight="1">
      <c r="A211" s="130" t="s">
        <v>306</v>
      </c>
      <c r="B211" s="29" t="s">
        <v>101</v>
      </c>
      <c r="C211" s="28" t="s">
        <v>75</v>
      </c>
      <c r="D211" s="28">
        <v>110</v>
      </c>
      <c r="E211" s="153">
        <f>1189.5+410.9</f>
        <v>1600.4</v>
      </c>
      <c r="F211" s="153">
        <f>1189.42+410.89</f>
        <v>1600.31</v>
      </c>
      <c r="G211" s="343">
        <f t="shared" si="12"/>
        <v>99.9943764058985</v>
      </c>
      <c r="H211" s="383"/>
    </row>
    <row r="212" spans="1:8" s="16" customFormat="1" ht="25.5" hidden="1">
      <c r="A212" s="24" t="s">
        <v>115</v>
      </c>
      <c r="B212" s="29" t="s">
        <v>101</v>
      </c>
      <c r="C212" s="28" t="s">
        <v>75</v>
      </c>
      <c r="D212" s="28">
        <v>112</v>
      </c>
      <c r="E212" s="153">
        <v>0</v>
      </c>
      <c r="F212" s="153">
        <v>0</v>
      </c>
      <c r="G212" s="343" t="e">
        <f t="shared" si="12"/>
        <v>#DIV/0!</v>
      </c>
      <c r="H212" s="379"/>
    </row>
    <row r="213" spans="1:8" s="19" customFormat="1" ht="27" customHeight="1">
      <c r="A213" s="21" t="s">
        <v>303</v>
      </c>
      <c r="B213" s="29" t="s">
        <v>101</v>
      </c>
      <c r="C213" s="28" t="s">
        <v>75</v>
      </c>
      <c r="D213" s="28">
        <v>240</v>
      </c>
      <c r="E213" s="153">
        <f>60.4+0.6</f>
        <v>61</v>
      </c>
      <c r="F213" s="153">
        <f>0.6+60.33</f>
        <v>60.93</v>
      </c>
      <c r="G213" s="343">
        <f t="shared" si="12"/>
        <v>99.88524590163934</v>
      </c>
      <c r="H213" s="377"/>
    </row>
    <row r="214" spans="1:8" s="19" customFormat="1" ht="18.75" customHeight="1">
      <c r="A214" s="130" t="s">
        <v>307</v>
      </c>
      <c r="B214" s="29" t="s">
        <v>101</v>
      </c>
      <c r="C214" s="28" t="s">
        <v>75</v>
      </c>
      <c r="D214" s="28">
        <v>850</v>
      </c>
      <c r="E214" s="153">
        <f>110-65-30</f>
        <v>15</v>
      </c>
      <c r="F214" s="153">
        <v>14.93</v>
      </c>
      <c r="G214" s="343">
        <f t="shared" si="12"/>
        <v>99.53333333333333</v>
      </c>
      <c r="H214" s="377"/>
    </row>
    <row r="215" spans="1:8" s="9" customFormat="1" ht="25.5" hidden="1">
      <c r="A215" s="38" t="s">
        <v>346</v>
      </c>
      <c r="B215" s="29" t="s">
        <v>101</v>
      </c>
      <c r="C215" s="28" t="s">
        <v>345</v>
      </c>
      <c r="D215" s="28"/>
      <c r="E215" s="153">
        <f>E216</f>
        <v>0</v>
      </c>
      <c r="F215" s="153">
        <f>F216</f>
        <v>0</v>
      </c>
      <c r="G215" s="343" t="e">
        <f t="shared" si="12"/>
        <v>#DIV/0!</v>
      </c>
      <c r="H215" s="375"/>
    </row>
    <row r="216" spans="1:8" s="57" customFormat="1" ht="18.75" customHeight="1" hidden="1">
      <c r="A216" s="3" t="s">
        <v>312</v>
      </c>
      <c r="B216" s="29" t="s">
        <v>101</v>
      </c>
      <c r="C216" s="28" t="s">
        <v>345</v>
      </c>
      <c r="D216" s="28">
        <v>610</v>
      </c>
      <c r="E216" s="153">
        <v>0</v>
      </c>
      <c r="F216" s="153">
        <v>0</v>
      </c>
      <c r="G216" s="343" t="e">
        <f t="shared" si="12"/>
        <v>#DIV/0!</v>
      </c>
      <c r="H216" s="383"/>
    </row>
    <row r="217" spans="1:7" ht="25.5">
      <c r="A217" s="38" t="s">
        <v>204</v>
      </c>
      <c r="B217" s="59" t="s">
        <v>101</v>
      </c>
      <c r="C217" s="35" t="s">
        <v>203</v>
      </c>
      <c r="D217" s="36"/>
      <c r="E217" s="157">
        <f>E218</f>
        <v>4662</v>
      </c>
      <c r="F217" s="157">
        <f>F218</f>
        <v>4661.73</v>
      </c>
      <c r="G217" s="343">
        <f t="shared" si="12"/>
        <v>99.99420849420848</v>
      </c>
    </row>
    <row r="218" spans="1:7" ht="29.25" customHeight="1">
      <c r="A218" s="21" t="s">
        <v>303</v>
      </c>
      <c r="B218" s="59" t="s">
        <v>101</v>
      </c>
      <c r="C218" s="35" t="s">
        <v>203</v>
      </c>
      <c r="D218" s="28">
        <v>240</v>
      </c>
      <c r="E218" s="157">
        <f>3000+500+300+500+362</f>
        <v>4662</v>
      </c>
      <c r="F218" s="157">
        <f>36.78+4610.95+14</f>
        <v>4661.73</v>
      </c>
      <c r="G218" s="343">
        <f t="shared" si="12"/>
        <v>99.99420849420848</v>
      </c>
    </row>
    <row r="219" spans="1:8" s="60" customFormat="1" ht="38.25" hidden="1">
      <c r="A219" s="3" t="s">
        <v>512</v>
      </c>
      <c r="B219" s="59" t="s">
        <v>101</v>
      </c>
      <c r="C219" s="35" t="s">
        <v>205</v>
      </c>
      <c r="D219" s="36"/>
      <c r="E219" s="157">
        <f>E220</f>
        <v>0</v>
      </c>
      <c r="F219" s="157">
        <f>F220</f>
        <v>0</v>
      </c>
      <c r="G219" s="343" t="e">
        <f t="shared" si="12"/>
        <v>#DIV/0!</v>
      </c>
      <c r="H219" s="388"/>
    </row>
    <row r="220" spans="1:8" s="55" customFormat="1" ht="28.5" customHeight="1" hidden="1">
      <c r="A220" s="21" t="s">
        <v>303</v>
      </c>
      <c r="B220" s="59" t="s">
        <v>101</v>
      </c>
      <c r="C220" s="35" t="s">
        <v>205</v>
      </c>
      <c r="D220" s="28">
        <v>610</v>
      </c>
      <c r="E220" s="157">
        <f>50-50+527.728-150.783-376.945</f>
        <v>0</v>
      </c>
      <c r="F220" s="157">
        <f>50-50+527.728-150.783-376.945</f>
        <v>0</v>
      </c>
      <c r="G220" s="343" t="e">
        <f t="shared" si="12"/>
        <v>#DIV/0!</v>
      </c>
      <c r="H220" s="386"/>
    </row>
    <row r="221" spans="1:8" s="19" customFormat="1" ht="38.25">
      <c r="A221" s="3" t="s">
        <v>206</v>
      </c>
      <c r="B221" s="59" t="s">
        <v>101</v>
      </c>
      <c r="C221" s="35" t="s">
        <v>207</v>
      </c>
      <c r="D221" s="36"/>
      <c r="E221" s="157">
        <f>E222</f>
        <v>750</v>
      </c>
      <c r="F221" s="157">
        <f>F222</f>
        <v>741.4300000000001</v>
      </c>
      <c r="G221" s="343">
        <f t="shared" si="12"/>
        <v>98.85733333333334</v>
      </c>
      <c r="H221" s="377"/>
    </row>
    <row r="222" spans="1:8" s="19" customFormat="1" ht="29.25" customHeight="1">
      <c r="A222" s="21" t="s">
        <v>303</v>
      </c>
      <c r="B222" s="59" t="s">
        <v>101</v>
      </c>
      <c r="C222" s="35" t="s">
        <v>207</v>
      </c>
      <c r="D222" s="28">
        <v>240</v>
      </c>
      <c r="E222" s="157">
        <f>(800+250)/2+303+302-380</f>
        <v>750</v>
      </c>
      <c r="F222" s="157">
        <f>432.41+149.9+159.12</f>
        <v>741.4300000000001</v>
      </c>
      <c r="G222" s="343">
        <f t="shared" si="12"/>
        <v>98.85733333333334</v>
      </c>
      <c r="H222" s="377"/>
    </row>
    <row r="223" spans="1:8" s="19" customFormat="1" ht="38.25" hidden="1">
      <c r="A223" s="21" t="s">
        <v>294</v>
      </c>
      <c r="B223" s="59" t="s">
        <v>101</v>
      </c>
      <c r="C223" s="35" t="s">
        <v>282</v>
      </c>
      <c r="D223" s="36"/>
      <c r="E223" s="157">
        <f>E224</f>
        <v>0</v>
      </c>
      <c r="F223" s="157">
        <f>F224</f>
        <v>0</v>
      </c>
      <c r="G223" s="343" t="e">
        <f t="shared" si="12"/>
        <v>#DIV/0!</v>
      </c>
      <c r="H223" s="377"/>
    </row>
    <row r="224" spans="1:8" s="19" customFormat="1" ht="25.5" hidden="1">
      <c r="A224" s="24" t="s">
        <v>38</v>
      </c>
      <c r="B224" s="59" t="s">
        <v>101</v>
      </c>
      <c r="C224" s="35" t="s">
        <v>282</v>
      </c>
      <c r="D224" s="36">
        <v>244</v>
      </c>
      <c r="E224" s="157"/>
      <c r="F224" s="157"/>
      <c r="G224" s="343" t="e">
        <f t="shared" si="12"/>
        <v>#DIV/0!</v>
      </c>
      <c r="H224" s="377"/>
    </row>
    <row r="225" spans="1:8" s="19" customFormat="1" ht="12.75" hidden="1">
      <c r="A225" s="24" t="s">
        <v>253</v>
      </c>
      <c r="B225" s="59" t="s">
        <v>101</v>
      </c>
      <c r="C225" s="35" t="s">
        <v>252</v>
      </c>
      <c r="D225" s="36"/>
      <c r="E225" s="157">
        <f>E226</f>
        <v>0</v>
      </c>
      <c r="F225" s="157">
        <f>F226</f>
        <v>0</v>
      </c>
      <c r="G225" s="343" t="e">
        <f t="shared" si="12"/>
        <v>#DIV/0!</v>
      </c>
      <c r="H225" s="377"/>
    </row>
    <row r="226" spans="1:8" s="19" customFormat="1" ht="25.5" hidden="1">
      <c r="A226" s="24" t="s">
        <v>38</v>
      </c>
      <c r="B226" s="59" t="s">
        <v>101</v>
      </c>
      <c r="C226" s="35" t="s">
        <v>252</v>
      </c>
      <c r="D226" s="36">
        <v>244</v>
      </c>
      <c r="E226" s="157"/>
      <c r="F226" s="157"/>
      <c r="G226" s="343" t="e">
        <f t="shared" si="12"/>
        <v>#DIV/0!</v>
      </c>
      <c r="H226" s="377"/>
    </row>
    <row r="227" spans="1:8" s="19" customFormat="1" ht="25.5">
      <c r="A227" s="3" t="s">
        <v>333</v>
      </c>
      <c r="B227" s="59" t="s">
        <v>101</v>
      </c>
      <c r="C227" s="35" t="s">
        <v>334</v>
      </c>
      <c r="D227" s="36"/>
      <c r="E227" s="157">
        <f>E228</f>
        <v>300</v>
      </c>
      <c r="F227" s="157">
        <f>F228</f>
        <v>268.31</v>
      </c>
      <c r="G227" s="343">
        <f t="shared" si="12"/>
        <v>89.43666666666667</v>
      </c>
      <c r="H227" s="377"/>
    </row>
    <row r="228" spans="1:8" s="19" customFormat="1" ht="29.25" customHeight="1">
      <c r="A228" s="21" t="s">
        <v>303</v>
      </c>
      <c r="B228" s="59" t="s">
        <v>101</v>
      </c>
      <c r="C228" s="35" t="s">
        <v>334</v>
      </c>
      <c r="D228" s="28">
        <v>240</v>
      </c>
      <c r="E228" s="157">
        <f>700-400</f>
        <v>300</v>
      </c>
      <c r="F228" s="157">
        <v>268.31</v>
      </c>
      <c r="G228" s="343">
        <f t="shared" si="12"/>
        <v>89.43666666666667</v>
      </c>
      <c r="H228" s="377"/>
    </row>
    <row r="229" spans="1:8" s="56" customFormat="1" ht="25.5">
      <c r="A229" s="39" t="s">
        <v>208</v>
      </c>
      <c r="B229" s="58" t="s">
        <v>101</v>
      </c>
      <c r="C229" s="43" t="s">
        <v>69</v>
      </c>
      <c r="D229" s="46"/>
      <c r="E229" s="158">
        <f>E230+E239</f>
        <v>8614.323</v>
      </c>
      <c r="F229" s="158">
        <f>F230+F239</f>
        <v>8606.08</v>
      </c>
      <c r="G229" s="343">
        <f t="shared" si="12"/>
        <v>99.90431053026452</v>
      </c>
      <c r="H229" s="381"/>
    </row>
    <row r="230" spans="1:8" s="52" customFormat="1" ht="51">
      <c r="A230" s="39" t="s">
        <v>210</v>
      </c>
      <c r="B230" s="58" t="s">
        <v>101</v>
      </c>
      <c r="C230" s="43" t="s">
        <v>209</v>
      </c>
      <c r="D230" s="46"/>
      <c r="E230" s="158">
        <f>E233+E235+E237+E231</f>
        <v>8614.323</v>
      </c>
      <c r="F230" s="158">
        <f>F233+F235+F237+F231</f>
        <v>8606.08</v>
      </c>
      <c r="G230" s="343">
        <f t="shared" si="12"/>
        <v>99.90431053026452</v>
      </c>
      <c r="H230" s="382"/>
    </row>
    <row r="231" spans="1:7" ht="63.75">
      <c r="A231" s="44" t="s">
        <v>350</v>
      </c>
      <c r="B231" s="59" t="s">
        <v>101</v>
      </c>
      <c r="C231" s="28" t="s">
        <v>349</v>
      </c>
      <c r="D231" s="46"/>
      <c r="E231" s="157">
        <f>E232</f>
        <v>7828.283</v>
      </c>
      <c r="F231" s="157">
        <f>F232</f>
        <v>7828.28</v>
      </c>
      <c r="G231" s="343">
        <f t="shared" si="12"/>
        <v>99.99996167742019</v>
      </c>
    </row>
    <row r="232" spans="1:8" s="57" customFormat="1" ht="18.75" customHeight="1">
      <c r="A232" s="3" t="s">
        <v>312</v>
      </c>
      <c r="B232" s="29" t="s">
        <v>101</v>
      </c>
      <c r="C232" s="28" t="s">
        <v>349</v>
      </c>
      <c r="D232" s="28">
        <v>610</v>
      </c>
      <c r="E232" s="153">
        <f>463.3+1000+6314.2+150.783-100</f>
        <v>7828.283</v>
      </c>
      <c r="F232" s="153">
        <v>7828.28</v>
      </c>
      <c r="G232" s="343">
        <f t="shared" si="12"/>
        <v>99.99996167742019</v>
      </c>
      <c r="H232" s="383"/>
    </row>
    <row r="233" spans="1:7" ht="63.75">
      <c r="A233" s="44" t="s">
        <v>233</v>
      </c>
      <c r="B233" s="59" t="s">
        <v>101</v>
      </c>
      <c r="C233" s="35" t="s">
        <v>211</v>
      </c>
      <c r="D233" s="46"/>
      <c r="E233" s="157">
        <f>E234</f>
        <v>12.800000000000011</v>
      </c>
      <c r="F233" s="157">
        <f>F234</f>
        <v>12.800000000000011</v>
      </c>
      <c r="G233" s="343">
        <f t="shared" si="12"/>
        <v>100</v>
      </c>
    </row>
    <row r="234" spans="1:7" ht="25.5" customHeight="1">
      <c r="A234" s="21" t="s">
        <v>303</v>
      </c>
      <c r="B234" s="59" t="s">
        <v>101</v>
      </c>
      <c r="C234" s="35" t="s">
        <v>211</v>
      </c>
      <c r="D234" s="28">
        <v>240</v>
      </c>
      <c r="E234" s="157">
        <f>676.1-200-463.3</f>
        <v>12.800000000000011</v>
      </c>
      <c r="F234" s="157">
        <f>676.1-200-463.3</f>
        <v>12.800000000000011</v>
      </c>
      <c r="G234" s="343">
        <f t="shared" si="12"/>
        <v>100</v>
      </c>
    </row>
    <row r="235" spans="1:7" ht="54" customHeight="1">
      <c r="A235" s="24" t="s">
        <v>212</v>
      </c>
      <c r="B235" s="59" t="s">
        <v>101</v>
      </c>
      <c r="C235" s="35" t="s">
        <v>213</v>
      </c>
      <c r="D235" s="46"/>
      <c r="E235" s="157">
        <f>E236</f>
        <v>68</v>
      </c>
      <c r="F235" s="157">
        <f>F236</f>
        <v>67.98</v>
      </c>
      <c r="G235" s="343">
        <f t="shared" si="12"/>
        <v>99.97058823529412</v>
      </c>
    </row>
    <row r="236" spans="1:7" ht="27.75" customHeight="1">
      <c r="A236" s="21" t="s">
        <v>303</v>
      </c>
      <c r="B236" s="59" t="s">
        <v>101</v>
      </c>
      <c r="C236" s="35" t="s">
        <v>213</v>
      </c>
      <c r="D236" s="28">
        <v>240</v>
      </c>
      <c r="E236" s="157">
        <f>370-302</f>
        <v>68</v>
      </c>
      <c r="F236" s="157">
        <v>67.98</v>
      </c>
      <c r="G236" s="343">
        <f t="shared" si="12"/>
        <v>99.97058823529412</v>
      </c>
    </row>
    <row r="237" spans="1:7" ht="51" customHeight="1">
      <c r="A237" s="24" t="s">
        <v>214</v>
      </c>
      <c r="B237" s="59" t="s">
        <v>101</v>
      </c>
      <c r="C237" s="35" t="s">
        <v>218</v>
      </c>
      <c r="D237" s="46"/>
      <c r="E237" s="157">
        <f>E238</f>
        <v>705.2399999999998</v>
      </c>
      <c r="F237" s="157">
        <f>F238</f>
        <v>697.02</v>
      </c>
      <c r="G237" s="343">
        <f t="shared" si="12"/>
        <v>98.83443933979925</v>
      </c>
    </row>
    <row r="238" spans="1:7" ht="24.75" customHeight="1">
      <c r="A238" s="21" t="s">
        <v>303</v>
      </c>
      <c r="B238" s="59" t="s">
        <v>101</v>
      </c>
      <c r="C238" s="35" t="s">
        <v>218</v>
      </c>
      <c r="D238" s="28">
        <v>240</v>
      </c>
      <c r="E238" s="157">
        <f>920+723+1222.24-500-1000-660</f>
        <v>705.2399999999998</v>
      </c>
      <c r="F238" s="157">
        <f>65.18+399.05+232.79</f>
        <v>697.02</v>
      </c>
      <c r="G238" s="343">
        <f aca="true" t="shared" si="13" ref="G238:G301">F238/E238*100</f>
        <v>98.83443933979925</v>
      </c>
    </row>
    <row r="239" spans="1:8" s="52" customFormat="1" ht="38.25" hidden="1">
      <c r="A239" s="39" t="s">
        <v>215</v>
      </c>
      <c r="B239" s="58" t="s">
        <v>101</v>
      </c>
      <c r="C239" s="43" t="s">
        <v>110</v>
      </c>
      <c r="D239" s="46"/>
      <c r="E239" s="158">
        <f>E240+E242</f>
        <v>0</v>
      </c>
      <c r="F239" s="158">
        <f>F240+F242</f>
        <v>0</v>
      </c>
      <c r="G239" s="343" t="e">
        <f t="shared" si="13"/>
        <v>#DIV/0!</v>
      </c>
      <c r="H239" s="382"/>
    </row>
    <row r="240" spans="1:7" ht="63.75" hidden="1">
      <c r="A240" s="44" t="s">
        <v>270</v>
      </c>
      <c r="B240" s="59" t="s">
        <v>101</v>
      </c>
      <c r="C240" s="35" t="s">
        <v>225</v>
      </c>
      <c r="D240" s="46"/>
      <c r="E240" s="157">
        <f>E241</f>
        <v>0</v>
      </c>
      <c r="F240" s="157">
        <f>F241</f>
        <v>0</v>
      </c>
      <c r="G240" s="343" t="e">
        <f t="shared" si="13"/>
        <v>#DIV/0!</v>
      </c>
    </row>
    <row r="241" spans="1:7" ht="26.25" customHeight="1" hidden="1">
      <c r="A241" s="21" t="s">
        <v>303</v>
      </c>
      <c r="B241" s="59" t="s">
        <v>101</v>
      </c>
      <c r="C241" s="35" t="s">
        <v>225</v>
      </c>
      <c r="D241" s="28">
        <v>240</v>
      </c>
      <c r="E241" s="157">
        <f>20+283-303</f>
        <v>0</v>
      </c>
      <c r="F241" s="157">
        <f>20+283-303</f>
        <v>0</v>
      </c>
      <c r="G241" s="343" t="e">
        <f t="shared" si="13"/>
        <v>#DIV/0!</v>
      </c>
    </row>
    <row r="242" spans="1:7" ht="51" hidden="1">
      <c r="A242" s="44" t="s">
        <v>234</v>
      </c>
      <c r="B242" s="59" t="s">
        <v>101</v>
      </c>
      <c r="C242" s="35" t="s">
        <v>226</v>
      </c>
      <c r="D242" s="46"/>
      <c r="E242" s="157">
        <f>E243</f>
        <v>0</v>
      </c>
      <c r="F242" s="157">
        <f>F243</f>
        <v>0</v>
      </c>
      <c r="G242" s="343" t="e">
        <f t="shared" si="13"/>
        <v>#DIV/0!</v>
      </c>
    </row>
    <row r="243" spans="1:7" ht="25.5" hidden="1">
      <c r="A243" s="24" t="s">
        <v>38</v>
      </c>
      <c r="B243" s="59" t="s">
        <v>101</v>
      </c>
      <c r="C243" s="35" t="s">
        <v>226</v>
      </c>
      <c r="D243" s="36">
        <v>244</v>
      </c>
      <c r="E243" s="157"/>
      <c r="F243" s="157"/>
      <c r="G243" s="343" t="e">
        <f t="shared" si="13"/>
        <v>#DIV/0!</v>
      </c>
    </row>
    <row r="244" spans="1:8" s="56" customFormat="1" ht="25.5" hidden="1">
      <c r="A244" s="39" t="s">
        <v>168</v>
      </c>
      <c r="B244" s="58" t="s">
        <v>101</v>
      </c>
      <c r="C244" s="43" t="s">
        <v>170</v>
      </c>
      <c r="D244" s="46"/>
      <c r="E244" s="158">
        <f aca="true" t="shared" si="14" ref="E244:F246">E245</f>
        <v>0</v>
      </c>
      <c r="F244" s="158">
        <f t="shared" si="14"/>
        <v>0</v>
      </c>
      <c r="G244" s="343" t="e">
        <f t="shared" si="13"/>
        <v>#DIV/0!</v>
      </c>
      <c r="H244" s="381"/>
    </row>
    <row r="245" spans="1:8" s="52" customFormat="1" ht="51" hidden="1">
      <c r="A245" s="39" t="s">
        <v>169</v>
      </c>
      <c r="B245" s="40" t="s">
        <v>101</v>
      </c>
      <c r="C245" s="43" t="s">
        <v>171</v>
      </c>
      <c r="D245" s="45"/>
      <c r="E245" s="158">
        <f t="shared" si="14"/>
        <v>0</v>
      </c>
      <c r="F245" s="158">
        <f t="shared" si="14"/>
        <v>0</v>
      </c>
      <c r="G245" s="343" t="e">
        <f t="shared" si="13"/>
        <v>#DIV/0!</v>
      </c>
      <c r="H245" s="382"/>
    </row>
    <row r="246" spans="1:8" s="19" customFormat="1" ht="51" hidden="1">
      <c r="A246" s="34" t="s">
        <v>319</v>
      </c>
      <c r="B246" s="59" t="s">
        <v>101</v>
      </c>
      <c r="C246" s="35" t="s">
        <v>301</v>
      </c>
      <c r="D246" s="36"/>
      <c r="E246" s="157">
        <f t="shared" si="14"/>
        <v>0</v>
      </c>
      <c r="F246" s="157">
        <f t="shared" si="14"/>
        <v>0</v>
      </c>
      <c r="G246" s="343" t="e">
        <f t="shared" si="13"/>
        <v>#DIV/0!</v>
      </c>
      <c r="H246" s="377"/>
    </row>
    <row r="247" spans="1:8" s="19" customFormat="1" ht="30" customHeight="1" hidden="1">
      <c r="A247" s="21" t="s">
        <v>303</v>
      </c>
      <c r="B247" s="59" t="s">
        <v>101</v>
      </c>
      <c r="C247" s="35" t="s">
        <v>301</v>
      </c>
      <c r="D247" s="28">
        <v>240</v>
      </c>
      <c r="E247" s="157">
        <v>0</v>
      </c>
      <c r="F247" s="157">
        <v>0</v>
      </c>
      <c r="G247" s="343" t="e">
        <f t="shared" si="13"/>
        <v>#DIV/0!</v>
      </c>
      <c r="H247" s="377"/>
    </row>
    <row r="248" spans="1:8" s="56" customFormat="1" ht="51">
      <c r="A248" s="39" t="s">
        <v>343</v>
      </c>
      <c r="B248" s="58" t="s">
        <v>101</v>
      </c>
      <c r="C248" s="43" t="s">
        <v>340</v>
      </c>
      <c r="D248" s="46"/>
      <c r="E248" s="158">
        <f>E249</f>
        <v>145.409</v>
      </c>
      <c r="F248" s="158">
        <f>F249</f>
        <v>145.409</v>
      </c>
      <c r="G248" s="343">
        <f t="shared" si="13"/>
        <v>100</v>
      </c>
      <c r="H248" s="381"/>
    </row>
    <row r="249" spans="1:8" s="52" customFormat="1" ht="76.5">
      <c r="A249" s="39" t="s">
        <v>344</v>
      </c>
      <c r="B249" s="40" t="s">
        <v>101</v>
      </c>
      <c r="C249" s="43" t="s">
        <v>341</v>
      </c>
      <c r="D249" s="45"/>
      <c r="E249" s="158">
        <f>E250+E252</f>
        <v>145.409</v>
      </c>
      <c r="F249" s="158">
        <f>F250+F252</f>
        <v>145.409</v>
      </c>
      <c r="G249" s="343">
        <f t="shared" si="13"/>
        <v>100</v>
      </c>
      <c r="H249" s="382"/>
    </row>
    <row r="250" spans="1:8" s="19" customFormat="1" ht="12.75">
      <c r="A250" s="34" t="s">
        <v>531</v>
      </c>
      <c r="B250" s="59" t="s">
        <v>101</v>
      </c>
      <c r="C250" s="35" t="s">
        <v>342</v>
      </c>
      <c r="D250" s="36"/>
      <c r="E250" s="157">
        <f>E251</f>
        <v>13.219</v>
      </c>
      <c r="F250" s="157">
        <f>F251</f>
        <v>13.219</v>
      </c>
      <c r="G250" s="343">
        <f t="shared" si="13"/>
        <v>100</v>
      </c>
      <c r="H250" s="377"/>
    </row>
    <row r="251" spans="1:8" s="19" customFormat="1" ht="30" customHeight="1">
      <c r="A251" s="21" t="s">
        <v>303</v>
      </c>
      <c r="B251" s="59" t="s">
        <v>101</v>
      </c>
      <c r="C251" s="35" t="s">
        <v>342</v>
      </c>
      <c r="D251" s="28">
        <v>240</v>
      </c>
      <c r="E251" s="157">
        <v>13.219</v>
      </c>
      <c r="F251" s="157">
        <v>13.219</v>
      </c>
      <c r="G251" s="343">
        <f t="shared" si="13"/>
        <v>100</v>
      </c>
      <c r="H251" s="377"/>
    </row>
    <row r="252" spans="1:8" s="19" customFormat="1" ht="30" customHeight="1">
      <c r="A252" s="21" t="s">
        <v>303</v>
      </c>
      <c r="B252" s="59" t="s">
        <v>101</v>
      </c>
      <c r="C252" s="35" t="s">
        <v>511</v>
      </c>
      <c r="D252" s="28">
        <v>240</v>
      </c>
      <c r="E252" s="157">
        <v>132.19</v>
      </c>
      <c r="F252" s="157">
        <v>132.19</v>
      </c>
      <c r="G252" s="343">
        <f t="shared" si="13"/>
        <v>100</v>
      </c>
      <c r="H252" s="377"/>
    </row>
    <row r="253" spans="1:8" s="77" customFormat="1" ht="28.5">
      <c r="A253" s="63" t="s">
        <v>95</v>
      </c>
      <c r="B253" s="65" t="s">
        <v>92</v>
      </c>
      <c r="C253" s="64"/>
      <c r="D253" s="64"/>
      <c r="E253" s="150">
        <f>E254</f>
        <v>15229.28</v>
      </c>
      <c r="F253" s="150">
        <f>F254</f>
        <v>15228.910000000002</v>
      </c>
      <c r="G253" s="343">
        <f t="shared" si="13"/>
        <v>99.99757046951662</v>
      </c>
      <c r="H253" s="389"/>
    </row>
    <row r="254" spans="1:8" s="74" customFormat="1" ht="28.5">
      <c r="A254" s="63" t="s">
        <v>18</v>
      </c>
      <c r="B254" s="65" t="s">
        <v>17</v>
      </c>
      <c r="C254" s="64"/>
      <c r="D254" s="64"/>
      <c r="E254" s="150">
        <f>E264+E270+E273+E255</f>
        <v>15229.28</v>
      </c>
      <c r="F254" s="150">
        <f>F264+F270+F273+F255</f>
        <v>15228.910000000002</v>
      </c>
      <c r="G254" s="343">
        <f t="shared" si="13"/>
        <v>99.99757046951662</v>
      </c>
      <c r="H254" s="385"/>
    </row>
    <row r="255" spans="1:7" ht="28.5">
      <c r="A255" s="63" t="s">
        <v>78</v>
      </c>
      <c r="B255" s="65" t="s">
        <v>17</v>
      </c>
      <c r="C255" s="64" t="s">
        <v>74</v>
      </c>
      <c r="D255" s="64"/>
      <c r="E255" s="150">
        <f>E261+E256+E259</f>
        <v>1858.9</v>
      </c>
      <c r="F255" s="150">
        <f>F261+F256+F259</f>
        <v>1858.9</v>
      </c>
      <c r="G255" s="343">
        <f t="shared" si="13"/>
        <v>100</v>
      </c>
    </row>
    <row r="256" spans="1:8" s="19" customFormat="1" ht="25.5">
      <c r="A256" s="21" t="s">
        <v>279</v>
      </c>
      <c r="B256" s="18" t="s">
        <v>17</v>
      </c>
      <c r="C256" s="1" t="s">
        <v>278</v>
      </c>
      <c r="D256" s="1"/>
      <c r="E256" s="154">
        <f>E257+E258</f>
        <v>1258.9</v>
      </c>
      <c r="F256" s="154">
        <f>F257+F258</f>
        <v>1258.9</v>
      </c>
      <c r="G256" s="343">
        <f t="shared" si="13"/>
        <v>100</v>
      </c>
      <c r="H256" s="377"/>
    </row>
    <row r="257" spans="1:8" s="19" customFormat="1" ht="18" customHeight="1">
      <c r="A257" s="131" t="s">
        <v>306</v>
      </c>
      <c r="B257" s="18" t="s">
        <v>17</v>
      </c>
      <c r="C257" s="1" t="s">
        <v>278</v>
      </c>
      <c r="D257" s="1" t="s">
        <v>310</v>
      </c>
      <c r="E257" s="154">
        <v>558.9</v>
      </c>
      <c r="F257" s="154">
        <f>429.26+129.64</f>
        <v>558.9</v>
      </c>
      <c r="G257" s="343">
        <f t="shared" si="13"/>
        <v>100</v>
      </c>
      <c r="H257" s="377"/>
    </row>
    <row r="258" spans="1:8" s="19" customFormat="1" ht="25.5">
      <c r="A258" s="21" t="s">
        <v>352</v>
      </c>
      <c r="B258" s="18" t="s">
        <v>17</v>
      </c>
      <c r="C258" s="1" t="s">
        <v>278</v>
      </c>
      <c r="D258" s="1" t="s">
        <v>313</v>
      </c>
      <c r="E258" s="154">
        <v>700</v>
      </c>
      <c r="F258" s="154">
        <v>700</v>
      </c>
      <c r="G258" s="343">
        <f t="shared" si="13"/>
        <v>100</v>
      </c>
      <c r="H258" s="377"/>
    </row>
    <row r="259" spans="1:8" s="19" customFormat="1" ht="12.75" hidden="1">
      <c r="A259" s="21" t="s">
        <v>277</v>
      </c>
      <c r="B259" s="18" t="s">
        <v>17</v>
      </c>
      <c r="C259" s="1" t="s">
        <v>276</v>
      </c>
      <c r="D259" s="1"/>
      <c r="E259" s="154">
        <f>E260</f>
        <v>0</v>
      </c>
      <c r="F259" s="154">
        <f>F260</f>
        <v>0</v>
      </c>
      <c r="G259" s="343" t="e">
        <f t="shared" si="13"/>
        <v>#DIV/0!</v>
      </c>
      <c r="H259" s="377"/>
    </row>
    <row r="260" spans="1:8" s="19" customFormat="1" ht="25.5" hidden="1">
      <c r="A260" s="21" t="s">
        <v>38</v>
      </c>
      <c r="B260" s="18" t="s">
        <v>17</v>
      </c>
      <c r="C260" s="1" t="s">
        <v>276</v>
      </c>
      <c r="D260" s="1" t="s">
        <v>61</v>
      </c>
      <c r="E260" s="154"/>
      <c r="F260" s="154"/>
      <c r="G260" s="343" t="e">
        <f t="shared" si="13"/>
        <v>#DIV/0!</v>
      </c>
      <c r="H260" s="377"/>
    </row>
    <row r="261" spans="1:8" s="19" customFormat="1" ht="25.5">
      <c r="A261" s="21" t="s">
        <v>251</v>
      </c>
      <c r="B261" s="18" t="s">
        <v>17</v>
      </c>
      <c r="C261" s="1" t="s">
        <v>250</v>
      </c>
      <c r="D261" s="1"/>
      <c r="E261" s="154">
        <f>E262</f>
        <v>600</v>
      </c>
      <c r="F261" s="154">
        <f>F262</f>
        <v>600</v>
      </c>
      <c r="G261" s="343">
        <f t="shared" si="13"/>
        <v>100</v>
      </c>
      <c r="H261" s="377"/>
    </row>
    <row r="262" spans="1:8" s="19" customFormat="1" ht="25.5">
      <c r="A262" s="21" t="s">
        <v>352</v>
      </c>
      <c r="B262" s="18" t="s">
        <v>17</v>
      </c>
      <c r="C262" s="1" t="s">
        <v>250</v>
      </c>
      <c r="D262" s="1" t="s">
        <v>313</v>
      </c>
      <c r="E262" s="154">
        <v>600</v>
      </c>
      <c r="F262" s="154">
        <v>600</v>
      </c>
      <c r="G262" s="343">
        <f t="shared" si="13"/>
        <v>100</v>
      </c>
      <c r="H262" s="377"/>
    </row>
    <row r="263" spans="1:8" s="74" customFormat="1" ht="31.5" customHeight="1">
      <c r="A263" s="63" t="s">
        <v>223</v>
      </c>
      <c r="B263" s="65" t="s">
        <v>17</v>
      </c>
      <c r="C263" s="64" t="s">
        <v>3</v>
      </c>
      <c r="D263" s="64"/>
      <c r="E263" s="150">
        <f>E264+E270+E273</f>
        <v>13370.380000000001</v>
      </c>
      <c r="F263" s="150">
        <f>F264+F270+F273</f>
        <v>13370.010000000002</v>
      </c>
      <c r="G263" s="343">
        <f t="shared" si="13"/>
        <v>99.9972326889737</v>
      </c>
      <c r="H263" s="385"/>
    </row>
    <row r="264" spans="1:8" s="52" customFormat="1" ht="54" customHeight="1">
      <c r="A264" s="15" t="s">
        <v>137</v>
      </c>
      <c r="B264" s="10" t="s">
        <v>17</v>
      </c>
      <c r="C264" s="11" t="s">
        <v>11</v>
      </c>
      <c r="D264" s="11"/>
      <c r="E264" s="149">
        <f>E265</f>
        <v>3845.28</v>
      </c>
      <c r="F264" s="149">
        <f>F265</f>
        <v>3845.06</v>
      </c>
      <c r="G264" s="343">
        <f t="shared" si="13"/>
        <v>99.99427870012066</v>
      </c>
      <c r="H264" s="382"/>
    </row>
    <row r="265" spans="1:7" ht="63" customHeight="1">
      <c r="A265" s="21" t="s">
        <v>138</v>
      </c>
      <c r="B265" s="18" t="s">
        <v>17</v>
      </c>
      <c r="C265" s="1" t="s">
        <v>21</v>
      </c>
      <c r="D265" s="1"/>
      <c r="E265" s="154">
        <f>E266+E267+E268+E269</f>
        <v>3845.28</v>
      </c>
      <c r="F265" s="154">
        <f>F266+F267+F268+F269</f>
        <v>3845.06</v>
      </c>
      <c r="G265" s="343">
        <f t="shared" si="13"/>
        <v>99.99427870012066</v>
      </c>
    </row>
    <row r="266" spans="1:7" ht="15.75" customHeight="1">
      <c r="A266" s="131" t="s">
        <v>306</v>
      </c>
      <c r="B266" s="18" t="s">
        <v>17</v>
      </c>
      <c r="C266" s="1" t="s">
        <v>21</v>
      </c>
      <c r="D266" s="1" t="s">
        <v>310</v>
      </c>
      <c r="E266" s="154">
        <f>2189.5+659.61</f>
        <v>2849.11</v>
      </c>
      <c r="F266" s="154">
        <f>2189.49+659.61</f>
        <v>2849.1</v>
      </c>
      <c r="G266" s="343">
        <f t="shared" si="13"/>
        <v>99.99964901320061</v>
      </c>
    </row>
    <row r="267" spans="1:7" ht="25.5" hidden="1">
      <c r="A267" s="21" t="s">
        <v>59</v>
      </c>
      <c r="B267" s="18" t="s">
        <v>17</v>
      </c>
      <c r="C267" s="1" t="s">
        <v>21</v>
      </c>
      <c r="D267" s="1" t="s">
        <v>60</v>
      </c>
      <c r="E267" s="154">
        <v>0</v>
      </c>
      <c r="F267" s="154">
        <v>0</v>
      </c>
      <c r="G267" s="343" t="e">
        <f t="shared" si="13"/>
        <v>#DIV/0!</v>
      </c>
    </row>
    <row r="268" spans="1:7" ht="27" customHeight="1">
      <c r="A268" s="21" t="s">
        <v>303</v>
      </c>
      <c r="B268" s="18" t="s">
        <v>17</v>
      </c>
      <c r="C268" s="1" t="s">
        <v>21</v>
      </c>
      <c r="D268" s="28">
        <v>240</v>
      </c>
      <c r="E268" s="154">
        <f>19.63+23.1+195+271.4+443.9+43.14</f>
        <v>996.17</v>
      </c>
      <c r="F268" s="154">
        <f>19.63+23.02+194.97+271.37+443.84+43.13</f>
        <v>995.9599999999999</v>
      </c>
      <c r="G268" s="343">
        <f t="shared" si="13"/>
        <v>99.97891926076873</v>
      </c>
    </row>
    <row r="269" spans="1:8" s="9" customFormat="1" ht="18.75" customHeight="1" hidden="1">
      <c r="A269" s="3" t="s">
        <v>307</v>
      </c>
      <c r="B269" s="18" t="s">
        <v>17</v>
      </c>
      <c r="C269" s="1" t="s">
        <v>21</v>
      </c>
      <c r="D269" s="1" t="s">
        <v>311</v>
      </c>
      <c r="E269" s="154">
        <v>0</v>
      </c>
      <c r="F269" s="154">
        <v>0</v>
      </c>
      <c r="G269" s="343" t="e">
        <f t="shared" si="13"/>
        <v>#DIV/0!</v>
      </c>
      <c r="H269" s="375"/>
    </row>
    <row r="270" spans="1:8" s="16" customFormat="1" ht="38.25">
      <c r="A270" s="15" t="s">
        <v>140</v>
      </c>
      <c r="B270" s="10" t="s">
        <v>17</v>
      </c>
      <c r="C270" s="11" t="s">
        <v>12</v>
      </c>
      <c r="D270" s="11"/>
      <c r="E270" s="149">
        <f>E271</f>
        <v>7093.100000000001</v>
      </c>
      <c r="F270" s="149">
        <f>F271</f>
        <v>7093.100000000001</v>
      </c>
      <c r="G270" s="343">
        <f t="shared" si="13"/>
        <v>100</v>
      </c>
      <c r="H270" s="379"/>
    </row>
    <row r="271" spans="1:8" s="16" customFormat="1" ht="67.5" customHeight="1">
      <c r="A271" s="21" t="s">
        <v>139</v>
      </c>
      <c r="B271" s="18" t="s">
        <v>17</v>
      </c>
      <c r="C271" s="1" t="s">
        <v>22</v>
      </c>
      <c r="D271" s="1"/>
      <c r="E271" s="154">
        <f>E272</f>
        <v>7093.100000000001</v>
      </c>
      <c r="F271" s="154">
        <f>F272</f>
        <v>7093.100000000001</v>
      </c>
      <c r="G271" s="343">
        <f t="shared" si="13"/>
        <v>100</v>
      </c>
      <c r="H271" s="379"/>
    </row>
    <row r="272" spans="1:8" s="19" customFormat="1" ht="15" customHeight="1">
      <c r="A272" s="3" t="s">
        <v>312</v>
      </c>
      <c r="B272" s="18" t="s">
        <v>17</v>
      </c>
      <c r="C272" s="1" t="s">
        <v>22</v>
      </c>
      <c r="D272" s="1" t="s">
        <v>313</v>
      </c>
      <c r="E272" s="154">
        <f>8217.2+106.7-260-19.8-9-1.2-4-57.6-90-13.5-8.2-80-24-40-600-23.5</f>
        <v>7093.100000000001</v>
      </c>
      <c r="F272" s="154">
        <f>8217.2+106.7-260-19.8-9-1.2-4-57.6-90-13.5-8.2-80-24-40-600-23.5</f>
        <v>7093.100000000001</v>
      </c>
      <c r="G272" s="343">
        <f t="shared" si="13"/>
        <v>100</v>
      </c>
      <c r="H272" s="377"/>
    </row>
    <row r="273" spans="1:8" s="9" customFormat="1" ht="43.5" customHeight="1">
      <c r="A273" s="39" t="s">
        <v>141</v>
      </c>
      <c r="B273" s="10" t="s">
        <v>17</v>
      </c>
      <c r="C273" s="43" t="s">
        <v>13</v>
      </c>
      <c r="D273" s="46"/>
      <c r="E273" s="158">
        <f>E274</f>
        <v>2432</v>
      </c>
      <c r="F273" s="158">
        <f>F274</f>
        <v>2431.85</v>
      </c>
      <c r="G273" s="343">
        <f t="shared" si="13"/>
        <v>99.99383223684211</v>
      </c>
      <c r="H273" s="375"/>
    </row>
    <row r="274" spans="1:8" s="9" customFormat="1" ht="63.75">
      <c r="A274" s="44" t="s">
        <v>142</v>
      </c>
      <c r="B274" s="18" t="s">
        <v>17</v>
      </c>
      <c r="C274" s="43" t="s">
        <v>155</v>
      </c>
      <c r="D274" s="46"/>
      <c r="E274" s="157">
        <f>E275+E276</f>
        <v>2432</v>
      </c>
      <c r="F274" s="157">
        <f>F275+F276</f>
        <v>2431.85</v>
      </c>
      <c r="G274" s="343">
        <f t="shared" si="13"/>
        <v>99.99383223684211</v>
      </c>
      <c r="H274" s="375"/>
    </row>
    <row r="275" spans="1:8" s="16" customFormat="1" ht="27.75" customHeight="1">
      <c r="A275" s="21" t="s">
        <v>303</v>
      </c>
      <c r="B275" s="18" t="s">
        <v>17</v>
      </c>
      <c r="C275" s="1" t="s">
        <v>155</v>
      </c>
      <c r="D275" s="28">
        <v>240</v>
      </c>
      <c r="E275" s="154">
        <v>1276</v>
      </c>
      <c r="F275" s="154">
        <f>681.79+248.3+311.96+33.8</f>
        <v>1275.85</v>
      </c>
      <c r="G275" s="343">
        <f t="shared" si="13"/>
        <v>99.98824451410657</v>
      </c>
      <c r="H275" s="379"/>
    </row>
    <row r="276" spans="1:8" s="19" customFormat="1" ht="15" customHeight="1">
      <c r="A276" s="3" t="s">
        <v>312</v>
      </c>
      <c r="B276" s="18" t="s">
        <v>17</v>
      </c>
      <c r="C276" s="1" t="s">
        <v>155</v>
      </c>
      <c r="D276" s="1" t="s">
        <v>313</v>
      </c>
      <c r="E276" s="154">
        <f>991.5+66+50+25+23.5</f>
        <v>1156</v>
      </c>
      <c r="F276" s="154">
        <v>1156</v>
      </c>
      <c r="G276" s="343">
        <f t="shared" si="13"/>
        <v>100</v>
      </c>
      <c r="H276" s="377"/>
    </row>
    <row r="277" spans="1:8" s="85" customFormat="1" ht="28.5">
      <c r="A277" s="63" t="s">
        <v>84</v>
      </c>
      <c r="B277" s="65" t="s">
        <v>85</v>
      </c>
      <c r="C277" s="64"/>
      <c r="D277" s="64"/>
      <c r="E277" s="150">
        <f>E278+E283</f>
        <v>8688.331</v>
      </c>
      <c r="F277" s="150">
        <f>F278+F283</f>
        <v>7285.42</v>
      </c>
      <c r="G277" s="343">
        <f t="shared" si="13"/>
        <v>83.85292871553811</v>
      </c>
      <c r="H277" s="392">
        <v>7285.42</v>
      </c>
    </row>
    <row r="278" spans="1:8" s="85" customFormat="1" ht="28.5">
      <c r="A278" s="63" t="s">
        <v>35</v>
      </c>
      <c r="B278" s="65" t="s">
        <v>79</v>
      </c>
      <c r="C278" s="64"/>
      <c r="D278" s="64"/>
      <c r="E278" s="150">
        <f aca="true" t="shared" si="15" ref="E278:F281">E279</f>
        <v>766.206</v>
      </c>
      <c r="F278" s="150">
        <f t="shared" si="15"/>
        <v>766.206</v>
      </c>
      <c r="G278" s="343">
        <f t="shared" si="13"/>
        <v>100</v>
      </c>
      <c r="H278" s="378"/>
    </row>
    <row r="279" spans="1:8" s="61" customFormat="1" ht="25.5">
      <c r="A279" s="13" t="s">
        <v>147</v>
      </c>
      <c r="B279" s="10" t="s">
        <v>79</v>
      </c>
      <c r="C279" s="11" t="s">
        <v>5</v>
      </c>
      <c r="D279" s="11"/>
      <c r="E279" s="149">
        <f t="shared" si="15"/>
        <v>766.206</v>
      </c>
      <c r="F279" s="149">
        <f t="shared" si="15"/>
        <v>766.206</v>
      </c>
      <c r="G279" s="343">
        <f t="shared" si="13"/>
        <v>100</v>
      </c>
      <c r="H279" s="387"/>
    </row>
    <row r="280" spans="1:8" s="61" customFormat="1" ht="39" customHeight="1">
      <c r="A280" s="15" t="s">
        <v>148</v>
      </c>
      <c r="B280" s="10" t="s">
        <v>79</v>
      </c>
      <c r="C280" s="11" t="s">
        <v>15</v>
      </c>
      <c r="D280" s="11"/>
      <c r="E280" s="149">
        <f t="shared" si="15"/>
        <v>766.206</v>
      </c>
      <c r="F280" s="149">
        <f t="shared" si="15"/>
        <v>766.206</v>
      </c>
      <c r="G280" s="343">
        <f t="shared" si="13"/>
        <v>100</v>
      </c>
      <c r="H280" s="387"/>
    </row>
    <row r="281" spans="1:8" s="19" customFormat="1" ht="63.75">
      <c r="A281" s="3" t="s">
        <v>149</v>
      </c>
      <c r="B281" s="18" t="s">
        <v>79</v>
      </c>
      <c r="C281" s="1" t="s">
        <v>146</v>
      </c>
      <c r="D281" s="1"/>
      <c r="E281" s="154">
        <f t="shared" si="15"/>
        <v>766.206</v>
      </c>
      <c r="F281" s="154">
        <f t="shared" si="15"/>
        <v>766.206</v>
      </c>
      <c r="G281" s="343">
        <f t="shared" si="13"/>
        <v>100</v>
      </c>
      <c r="H281" s="377"/>
    </row>
    <row r="282" spans="1:8" s="19" customFormat="1" ht="26.25" customHeight="1">
      <c r="A282" s="3" t="s">
        <v>314</v>
      </c>
      <c r="B282" s="18" t="s">
        <v>79</v>
      </c>
      <c r="C282" s="1" t="s">
        <v>146</v>
      </c>
      <c r="D282" s="1" t="s">
        <v>315</v>
      </c>
      <c r="E282" s="154">
        <v>766.206</v>
      </c>
      <c r="F282" s="154">
        <v>766.206</v>
      </c>
      <c r="G282" s="343">
        <f t="shared" si="13"/>
        <v>100</v>
      </c>
      <c r="H282" s="377"/>
    </row>
    <row r="283" spans="1:8" s="85" customFormat="1" ht="28.5">
      <c r="A283" s="63" t="s">
        <v>71</v>
      </c>
      <c r="B283" s="65" t="s">
        <v>70</v>
      </c>
      <c r="C283" s="64"/>
      <c r="D283" s="64"/>
      <c r="E283" s="150">
        <f>E288+E284</f>
        <v>7922.125</v>
      </c>
      <c r="F283" s="150">
        <f>F288+F284</f>
        <v>6519.214</v>
      </c>
      <c r="G283" s="343">
        <f t="shared" si="13"/>
        <v>82.29122867917383</v>
      </c>
      <c r="H283" s="391">
        <v>6519.21</v>
      </c>
    </row>
    <row r="284" spans="1:7" ht="12.75" hidden="1">
      <c r="A284" s="13" t="s">
        <v>111</v>
      </c>
      <c r="B284" s="58" t="s">
        <v>70</v>
      </c>
      <c r="C284" s="32" t="s">
        <v>0</v>
      </c>
      <c r="D284" s="32"/>
      <c r="E284" s="152">
        <f aca="true" t="shared" si="16" ref="E284:F286">E285</f>
        <v>0</v>
      </c>
      <c r="F284" s="152">
        <f t="shared" si="16"/>
        <v>0</v>
      </c>
      <c r="G284" s="343" t="e">
        <f t="shared" si="13"/>
        <v>#DIV/0!</v>
      </c>
    </row>
    <row r="285" spans="1:7" ht="12.75" hidden="1">
      <c r="A285" s="15" t="s">
        <v>78</v>
      </c>
      <c r="B285" s="58" t="s">
        <v>70</v>
      </c>
      <c r="C285" s="11" t="s">
        <v>74</v>
      </c>
      <c r="D285" s="11"/>
      <c r="E285" s="149">
        <f t="shared" si="16"/>
        <v>0</v>
      </c>
      <c r="F285" s="149">
        <f t="shared" si="16"/>
        <v>0</v>
      </c>
      <c r="G285" s="343" t="e">
        <f t="shared" si="13"/>
        <v>#DIV/0!</v>
      </c>
    </row>
    <row r="286" spans="1:8" s="9" customFormat="1" ht="38.25" hidden="1">
      <c r="A286" s="38" t="s">
        <v>238</v>
      </c>
      <c r="B286" s="58" t="s">
        <v>70</v>
      </c>
      <c r="C286" s="28" t="s">
        <v>237</v>
      </c>
      <c r="D286" s="28"/>
      <c r="E286" s="153">
        <f t="shared" si="16"/>
        <v>0</v>
      </c>
      <c r="F286" s="153">
        <f t="shared" si="16"/>
        <v>0</v>
      </c>
      <c r="G286" s="343" t="e">
        <f t="shared" si="13"/>
        <v>#DIV/0!</v>
      </c>
      <c r="H286" s="375"/>
    </row>
    <row r="287" spans="1:8" s="9" customFormat="1" ht="38.25" hidden="1">
      <c r="A287" s="38" t="s">
        <v>239</v>
      </c>
      <c r="B287" s="58" t="s">
        <v>70</v>
      </c>
      <c r="C287" s="28" t="s">
        <v>237</v>
      </c>
      <c r="D287" s="30">
        <v>314</v>
      </c>
      <c r="E287" s="153"/>
      <c r="F287" s="153"/>
      <c r="G287" s="343" t="e">
        <f t="shared" si="13"/>
        <v>#DIV/0!</v>
      </c>
      <c r="H287" s="375"/>
    </row>
    <row r="288" spans="1:8" s="61" customFormat="1" ht="51" customHeight="1">
      <c r="A288" s="13" t="s">
        <v>143</v>
      </c>
      <c r="B288" s="58" t="s">
        <v>70</v>
      </c>
      <c r="C288" s="11" t="s">
        <v>1</v>
      </c>
      <c r="D288" s="11"/>
      <c r="E288" s="149">
        <f>E289</f>
        <v>7922.125</v>
      </c>
      <c r="F288" s="149">
        <f>F289</f>
        <v>6519.214</v>
      </c>
      <c r="G288" s="343">
        <f t="shared" si="13"/>
        <v>82.29122867917383</v>
      </c>
      <c r="H288" s="387"/>
    </row>
    <row r="289" spans="1:8" s="61" customFormat="1" ht="84" customHeight="1">
      <c r="A289" s="15" t="s">
        <v>145</v>
      </c>
      <c r="B289" s="58" t="s">
        <v>70</v>
      </c>
      <c r="C289" s="11" t="s">
        <v>10</v>
      </c>
      <c r="D289" s="11"/>
      <c r="E289" s="149">
        <f>E290+E293+E296+E299</f>
        <v>7922.125</v>
      </c>
      <c r="F289" s="149">
        <f>F290+F293+F296+F299</f>
        <v>6519.214</v>
      </c>
      <c r="G289" s="343">
        <f t="shared" si="13"/>
        <v>82.29122867917383</v>
      </c>
      <c r="H289" s="387"/>
    </row>
    <row r="290" spans="1:8" s="19" customFormat="1" ht="81" customHeight="1">
      <c r="A290" s="20" t="s">
        <v>244</v>
      </c>
      <c r="B290" s="59" t="s">
        <v>70</v>
      </c>
      <c r="C290" s="1" t="s">
        <v>144</v>
      </c>
      <c r="D290" s="1"/>
      <c r="E290" s="154">
        <f>E291+E292</f>
        <v>600</v>
      </c>
      <c r="F290" s="154">
        <f>F291+F292</f>
        <v>485.22</v>
      </c>
      <c r="G290" s="343">
        <f t="shared" si="13"/>
        <v>80.87</v>
      </c>
      <c r="H290" s="377"/>
    </row>
    <row r="291" spans="1:8" s="55" customFormat="1" ht="12.75" hidden="1">
      <c r="A291" s="21" t="s">
        <v>23</v>
      </c>
      <c r="B291" s="59" t="s">
        <v>70</v>
      </c>
      <c r="C291" s="1" t="s">
        <v>144</v>
      </c>
      <c r="D291" s="1" t="s">
        <v>64</v>
      </c>
      <c r="E291" s="154"/>
      <c r="F291" s="154"/>
      <c r="G291" s="343" t="e">
        <f t="shared" si="13"/>
        <v>#DIV/0!</v>
      </c>
      <c r="H291" s="386"/>
    </row>
    <row r="292" spans="1:8" s="55" customFormat="1" ht="16.5" customHeight="1">
      <c r="A292" s="3" t="s">
        <v>314</v>
      </c>
      <c r="B292" s="59" t="s">
        <v>70</v>
      </c>
      <c r="C292" s="1" t="s">
        <v>144</v>
      </c>
      <c r="D292" s="1" t="s">
        <v>315</v>
      </c>
      <c r="E292" s="154">
        <f>1500-500-400</f>
        <v>600</v>
      </c>
      <c r="F292" s="154">
        <v>485.22</v>
      </c>
      <c r="G292" s="343">
        <f t="shared" si="13"/>
        <v>80.87</v>
      </c>
      <c r="H292" s="386"/>
    </row>
    <row r="293" spans="1:8" s="19" customFormat="1" ht="25.5">
      <c r="A293" s="20" t="s">
        <v>272</v>
      </c>
      <c r="B293" s="59" t="s">
        <v>70</v>
      </c>
      <c r="C293" s="1" t="s">
        <v>271</v>
      </c>
      <c r="D293" s="1"/>
      <c r="E293" s="154">
        <f>E294+E295</f>
        <v>896.5</v>
      </c>
      <c r="F293" s="154">
        <f>F294+F295</f>
        <v>681.5</v>
      </c>
      <c r="G293" s="343">
        <f t="shared" si="13"/>
        <v>76.01784718349136</v>
      </c>
      <c r="H293" s="377"/>
    </row>
    <row r="294" spans="1:8" s="55" customFormat="1" ht="12.75" hidden="1">
      <c r="A294" s="21" t="s">
        <v>23</v>
      </c>
      <c r="B294" s="59" t="s">
        <v>70</v>
      </c>
      <c r="C294" s="1" t="s">
        <v>144</v>
      </c>
      <c r="D294" s="1" t="s">
        <v>64</v>
      </c>
      <c r="E294" s="154"/>
      <c r="F294" s="154"/>
      <c r="G294" s="343" t="e">
        <f t="shared" si="13"/>
        <v>#DIV/0!</v>
      </c>
      <c r="H294" s="386"/>
    </row>
    <row r="295" spans="1:8" s="55" customFormat="1" ht="28.5" customHeight="1">
      <c r="A295" s="3" t="s">
        <v>530</v>
      </c>
      <c r="B295" s="59" t="s">
        <v>70</v>
      </c>
      <c r="C295" s="1" t="s">
        <v>271</v>
      </c>
      <c r="D295" s="1" t="s">
        <v>315</v>
      </c>
      <c r="E295" s="154">
        <f>251.5+645</f>
        <v>896.5</v>
      </c>
      <c r="F295" s="154">
        <v>681.5</v>
      </c>
      <c r="G295" s="343">
        <f t="shared" si="13"/>
        <v>76.01784718349136</v>
      </c>
      <c r="H295" s="386"/>
    </row>
    <row r="296" spans="1:8" s="19" customFormat="1" ht="51">
      <c r="A296" s="20" t="s">
        <v>288</v>
      </c>
      <c r="B296" s="59" t="s">
        <v>70</v>
      </c>
      <c r="C296" s="1" t="s">
        <v>273</v>
      </c>
      <c r="D296" s="1"/>
      <c r="E296" s="154">
        <f>E297+E298</f>
        <v>1835.964</v>
      </c>
      <c r="F296" s="154">
        <f>F297+F298</f>
        <v>1835.964</v>
      </c>
      <c r="G296" s="343">
        <f t="shared" si="13"/>
        <v>100</v>
      </c>
      <c r="H296" s="377"/>
    </row>
    <row r="297" spans="1:8" s="55" customFormat="1" ht="12.75" hidden="1">
      <c r="A297" s="21" t="s">
        <v>23</v>
      </c>
      <c r="B297" s="59" t="s">
        <v>70</v>
      </c>
      <c r="C297" s="1" t="s">
        <v>144</v>
      </c>
      <c r="D297" s="1" t="s">
        <v>64</v>
      </c>
      <c r="E297" s="154"/>
      <c r="F297" s="154"/>
      <c r="G297" s="343" t="e">
        <f t="shared" si="13"/>
        <v>#DIV/0!</v>
      </c>
      <c r="H297" s="386"/>
    </row>
    <row r="298" spans="1:8" s="55" customFormat="1" ht="28.5" customHeight="1">
      <c r="A298" s="3" t="s">
        <v>530</v>
      </c>
      <c r="B298" s="59" t="s">
        <v>70</v>
      </c>
      <c r="C298" s="1" t="s">
        <v>273</v>
      </c>
      <c r="D298" s="1" t="s">
        <v>315</v>
      </c>
      <c r="E298" s="154">
        <v>1835.964</v>
      </c>
      <c r="F298" s="154">
        <v>1835.964</v>
      </c>
      <c r="G298" s="343">
        <f t="shared" si="13"/>
        <v>100</v>
      </c>
      <c r="H298" s="386"/>
    </row>
    <row r="299" spans="1:8" s="19" customFormat="1" ht="25.5">
      <c r="A299" s="20" t="s">
        <v>275</v>
      </c>
      <c r="B299" s="59" t="s">
        <v>70</v>
      </c>
      <c r="C299" s="1" t="s">
        <v>274</v>
      </c>
      <c r="D299" s="1"/>
      <c r="E299" s="154">
        <f>E300+E301</f>
        <v>4589.661</v>
      </c>
      <c r="F299" s="154">
        <f>F300+F301</f>
        <v>3516.53</v>
      </c>
      <c r="G299" s="343">
        <f t="shared" si="13"/>
        <v>76.61851278340602</v>
      </c>
      <c r="H299" s="377"/>
    </row>
    <row r="300" spans="1:8" s="55" customFormat="1" ht="12.75" hidden="1">
      <c r="A300" s="21" t="s">
        <v>23</v>
      </c>
      <c r="B300" s="59" t="s">
        <v>70</v>
      </c>
      <c r="C300" s="1" t="s">
        <v>144</v>
      </c>
      <c r="D300" s="1" t="s">
        <v>64</v>
      </c>
      <c r="E300" s="154"/>
      <c r="F300" s="154"/>
      <c r="G300" s="343" t="e">
        <f t="shared" si="13"/>
        <v>#DIV/0!</v>
      </c>
      <c r="H300" s="386"/>
    </row>
    <row r="301" spans="1:8" s="55" customFormat="1" ht="25.5">
      <c r="A301" s="21" t="s">
        <v>236</v>
      </c>
      <c r="B301" s="59" t="s">
        <v>70</v>
      </c>
      <c r="C301" s="1" t="s">
        <v>274</v>
      </c>
      <c r="D301" s="1" t="s">
        <v>315</v>
      </c>
      <c r="E301" s="154">
        <f>797.776+3791.885</f>
        <v>4589.661</v>
      </c>
      <c r="F301" s="154">
        <v>3516.53</v>
      </c>
      <c r="G301" s="343">
        <f t="shared" si="13"/>
        <v>76.61851278340602</v>
      </c>
      <c r="H301" s="386"/>
    </row>
    <row r="302" spans="1:8" s="76" customFormat="1" ht="15" hidden="1">
      <c r="A302" s="63" t="s">
        <v>96</v>
      </c>
      <c r="B302" s="65" t="s">
        <v>93</v>
      </c>
      <c r="C302" s="64"/>
      <c r="D302" s="64"/>
      <c r="E302" s="150">
        <f>E303</f>
        <v>0</v>
      </c>
      <c r="F302" s="150">
        <f>F303</f>
        <v>0</v>
      </c>
      <c r="G302" s="343" t="e">
        <f aca="true" t="shared" si="17" ref="G302:G324">F302/E302*100</f>
        <v>#DIV/0!</v>
      </c>
      <c r="H302" s="376"/>
    </row>
    <row r="303" spans="1:8" s="76" customFormat="1" ht="15" hidden="1">
      <c r="A303" s="63" t="s">
        <v>20</v>
      </c>
      <c r="B303" s="65" t="s">
        <v>19</v>
      </c>
      <c r="C303" s="64"/>
      <c r="D303" s="64"/>
      <c r="E303" s="150">
        <f>E304+E308</f>
        <v>0</v>
      </c>
      <c r="F303" s="150">
        <f>F304+F308</f>
        <v>0</v>
      </c>
      <c r="G303" s="343" t="e">
        <f t="shared" si="17"/>
        <v>#DIV/0!</v>
      </c>
      <c r="H303" s="376"/>
    </row>
    <row r="304" spans="1:8" s="56" customFormat="1" ht="25.5" hidden="1">
      <c r="A304" s="13" t="s">
        <v>150</v>
      </c>
      <c r="B304" s="10" t="s">
        <v>19</v>
      </c>
      <c r="C304" s="11" t="s">
        <v>4</v>
      </c>
      <c r="D304" s="11"/>
      <c r="E304" s="149">
        <f aca="true" t="shared" si="18" ref="E304:F306">E305</f>
        <v>0</v>
      </c>
      <c r="F304" s="149">
        <f t="shared" si="18"/>
        <v>0</v>
      </c>
      <c r="G304" s="343" t="e">
        <f t="shared" si="17"/>
        <v>#DIV/0!</v>
      </c>
      <c r="H304" s="381"/>
    </row>
    <row r="305" spans="1:8" s="56" customFormat="1" ht="38.25" hidden="1">
      <c r="A305" s="15" t="s">
        <v>151</v>
      </c>
      <c r="B305" s="10" t="s">
        <v>19</v>
      </c>
      <c r="C305" s="11" t="s">
        <v>14</v>
      </c>
      <c r="D305" s="11"/>
      <c r="E305" s="149">
        <f t="shared" si="18"/>
        <v>0</v>
      </c>
      <c r="F305" s="149">
        <f t="shared" si="18"/>
        <v>0</v>
      </c>
      <c r="G305" s="343" t="e">
        <f t="shared" si="17"/>
        <v>#DIV/0!</v>
      </c>
      <c r="H305" s="381"/>
    </row>
    <row r="306" spans="1:8" s="19" customFormat="1" ht="51" hidden="1">
      <c r="A306" s="21" t="s">
        <v>300</v>
      </c>
      <c r="B306" s="18" t="s">
        <v>19</v>
      </c>
      <c r="C306" s="1" t="s">
        <v>224</v>
      </c>
      <c r="D306" s="1"/>
      <c r="E306" s="154">
        <f t="shared" si="18"/>
        <v>0</v>
      </c>
      <c r="F306" s="154">
        <f t="shared" si="18"/>
        <v>0</v>
      </c>
      <c r="G306" s="343" t="e">
        <f t="shared" si="17"/>
        <v>#DIV/0!</v>
      </c>
      <c r="H306" s="377"/>
    </row>
    <row r="307" spans="1:8" s="19" customFormat="1" ht="25.5" hidden="1">
      <c r="A307" s="21" t="s">
        <v>302</v>
      </c>
      <c r="B307" s="18" t="s">
        <v>19</v>
      </c>
      <c r="C307" s="1" t="s">
        <v>224</v>
      </c>
      <c r="D307" s="28">
        <v>240</v>
      </c>
      <c r="E307" s="154">
        <f>2200-600-100-299-1201</f>
        <v>0</v>
      </c>
      <c r="F307" s="154">
        <f>2200-600-100-299-1201</f>
        <v>0</v>
      </c>
      <c r="G307" s="343" t="e">
        <f t="shared" si="17"/>
        <v>#DIV/0!</v>
      </c>
      <c r="H307" s="377"/>
    </row>
    <row r="308" spans="1:8" s="19" customFormat="1" ht="12.75" hidden="1">
      <c r="A308" s="13" t="s">
        <v>111</v>
      </c>
      <c r="B308" s="58" t="s">
        <v>19</v>
      </c>
      <c r="C308" s="32" t="s">
        <v>0</v>
      </c>
      <c r="D308" s="11"/>
      <c r="E308" s="149">
        <f>E309</f>
        <v>0</v>
      </c>
      <c r="F308" s="149">
        <f>F309</f>
        <v>0</v>
      </c>
      <c r="G308" s="343" t="e">
        <f t="shared" si="17"/>
        <v>#DIV/0!</v>
      </c>
      <c r="H308" s="377"/>
    </row>
    <row r="309" spans="1:8" s="19" customFormat="1" ht="12.75" hidden="1">
      <c r="A309" s="15" t="s">
        <v>78</v>
      </c>
      <c r="B309" s="58" t="s">
        <v>19</v>
      </c>
      <c r="C309" s="11" t="s">
        <v>74</v>
      </c>
      <c r="D309" s="1"/>
      <c r="E309" s="154">
        <f>E310+E312+E314</f>
        <v>0</v>
      </c>
      <c r="F309" s="154">
        <f>F310+F312+F314</f>
        <v>0</v>
      </c>
      <c r="G309" s="343" t="e">
        <f t="shared" si="17"/>
        <v>#DIV/0!</v>
      </c>
      <c r="H309" s="377"/>
    </row>
    <row r="310" spans="1:8" s="19" customFormat="1" ht="12.75" hidden="1">
      <c r="A310" s="21" t="s">
        <v>258</v>
      </c>
      <c r="B310" s="59" t="s">
        <v>19</v>
      </c>
      <c r="C310" s="1" t="s">
        <v>257</v>
      </c>
      <c r="D310" s="1"/>
      <c r="E310" s="154">
        <f>E311</f>
        <v>0</v>
      </c>
      <c r="F310" s="154">
        <f>F311</f>
        <v>0</v>
      </c>
      <c r="G310" s="343" t="e">
        <f t="shared" si="17"/>
        <v>#DIV/0!</v>
      </c>
      <c r="H310" s="377"/>
    </row>
    <row r="311" spans="1:8" s="19" customFormat="1" ht="25.5" hidden="1">
      <c r="A311" s="21" t="s">
        <v>38</v>
      </c>
      <c r="B311" s="59" t="s">
        <v>19</v>
      </c>
      <c r="C311" s="1" t="s">
        <v>257</v>
      </c>
      <c r="D311" s="1" t="s">
        <v>61</v>
      </c>
      <c r="E311" s="154"/>
      <c r="F311" s="154"/>
      <c r="G311" s="343" t="e">
        <f t="shared" si="17"/>
        <v>#DIV/0!</v>
      </c>
      <c r="H311" s="377"/>
    </row>
    <row r="312" spans="1:8" s="19" customFormat="1" ht="12.75" hidden="1">
      <c r="A312" s="21" t="s">
        <v>268</v>
      </c>
      <c r="B312" s="59" t="s">
        <v>19</v>
      </c>
      <c r="C312" s="1" t="s">
        <v>261</v>
      </c>
      <c r="D312" s="1"/>
      <c r="E312" s="154">
        <f>E313</f>
        <v>0</v>
      </c>
      <c r="F312" s="154">
        <f>F313</f>
        <v>0</v>
      </c>
      <c r="G312" s="343" t="e">
        <f t="shared" si="17"/>
        <v>#DIV/0!</v>
      </c>
      <c r="H312" s="377"/>
    </row>
    <row r="313" spans="1:8" s="19" customFormat="1" ht="25.5" hidden="1">
      <c r="A313" s="21" t="s">
        <v>38</v>
      </c>
      <c r="B313" s="59" t="s">
        <v>19</v>
      </c>
      <c r="C313" s="1" t="s">
        <v>261</v>
      </c>
      <c r="D313" s="1" t="s">
        <v>61</v>
      </c>
      <c r="E313" s="154"/>
      <c r="F313" s="154"/>
      <c r="G313" s="343" t="e">
        <f t="shared" si="17"/>
        <v>#DIV/0!</v>
      </c>
      <c r="H313" s="377"/>
    </row>
    <row r="314" spans="1:8" s="19" customFormat="1" ht="38.25" hidden="1">
      <c r="A314" s="21" t="s">
        <v>294</v>
      </c>
      <c r="B314" s="59" t="s">
        <v>19</v>
      </c>
      <c r="C314" s="1" t="s">
        <v>282</v>
      </c>
      <c r="D314" s="1"/>
      <c r="E314" s="154">
        <f>E315</f>
        <v>0</v>
      </c>
      <c r="F314" s="154">
        <f>F315</f>
        <v>0</v>
      </c>
      <c r="G314" s="343" t="e">
        <f t="shared" si="17"/>
        <v>#DIV/0!</v>
      </c>
      <c r="H314" s="377"/>
    </row>
    <row r="315" spans="1:8" s="19" customFormat="1" ht="25.5" hidden="1">
      <c r="A315" s="21" t="s">
        <v>38</v>
      </c>
      <c r="B315" s="59" t="s">
        <v>19</v>
      </c>
      <c r="C315" s="1" t="s">
        <v>282</v>
      </c>
      <c r="D315" s="1" t="s">
        <v>61</v>
      </c>
      <c r="E315" s="154"/>
      <c r="F315" s="154"/>
      <c r="G315" s="343" t="e">
        <f t="shared" si="17"/>
        <v>#DIV/0!</v>
      </c>
      <c r="H315" s="377"/>
    </row>
    <row r="316" spans="1:8" s="19" customFormat="1" ht="14.25">
      <c r="A316" s="63" t="s">
        <v>97</v>
      </c>
      <c r="B316" s="58" t="s">
        <v>94</v>
      </c>
      <c r="C316" s="91"/>
      <c r="D316" s="1"/>
      <c r="E316" s="150">
        <f aca="true" t="shared" si="19" ref="E316:F319">E317</f>
        <v>600</v>
      </c>
      <c r="F316" s="150">
        <f t="shared" si="19"/>
        <v>600</v>
      </c>
      <c r="G316" s="343">
        <f t="shared" si="17"/>
        <v>100</v>
      </c>
      <c r="H316" s="393">
        <v>600</v>
      </c>
    </row>
    <row r="317" spans="1:8" s="19" customFormat="1" ht="14.25">
      <c r="A317" s="63" t="s">
        <v>73</v>
      </c>
      <c r="B317" s="58" t="s">
        <v>72</v>
      </c>
      <c r="C317" s="91"/>
      <c r="D317" s="1"/>
      <c r="E317" s="150">
        <f t="shared" si="19"/>
        <v>600</v>
      </c>
      <c r="F317" s="150">
        <f t="shared" si="19"/>
        <v>600</v>
      </c>
      <c r="G317" s="343">
        <f t="shared" si="17"/>
        <v>100</v>
      </c>
      <c r="H317" s="377"/>
    </row>
    <row r="318" spans="1:7" ht="25.5">
      <c r="A318" s="13" t="s">
        <v>111</v>
      </c>
      <c r="B318" s="58" t="s">
        <v>72</v>
      </c>
      <c r="C318" s="43" t="s">
        <v>0</v>
      </c>
      <c r="D318" s="46"/>
      <c r="E318" s="158">
        <f t="shared" si="19"/>
        <v>600</v>
      </c>
      <c r="F318" s="158">
        <f t="shared" si="19"/>
        <v>600</v>
      </c>
      <c r="G318" s="343">
        <f t="shared" si="17"/>
        <v>100</v>
      </c>
    </row>
    <row r="319" spans="1:7" ht="12.75">
      <c r="A319" s="15" t="s">
        <v>78</v>
      </c>
      <c r="B319" s="58" t="s">
        <v>72</v>
      </c>
      <c r="C319" s="43" t="s">
        <v>74</v>
      </c>
      <c r="D319" s="46"/>
      <c r="E319" s="158">
        <f t="shared" si="19"/>
        <v>600</v>
      </c>
      <c r="F319" s="158">
        <f t="shared" si="19"/>
        <v>600</v>
      </c>
      <c r="G319" s="343">
        <f t="shared" si="17"/>
        <v>100</v>
      </c>
    </row>
    <row r="320" spans="1:7" ht="51">
      <c r="A320" s="44" t="s">
        <v>351</v>
      </c>
      <c r="B320" s="59" t="s">
        <v>72</v>
      </c>
      <c r="C320" s="35" t="s">
        <v>156</v>
      </c>
      <c r="D320" s="46"/>
      <c r="E320" s="157">
        <f>E321+E323</f>
        <v>600</v>
      </c>
      <c r="F320" s="157">
        <f>F321+F323</f>
        <v>600</v>
      </c>
      <c r="G320" s="343">
        <f t="shared" si="17"/>
        <v>100</v>
      </c>
    </row>
    <row r="321" spans="1:7" ht="32.25" customHeight="1">
      <c r="A321" s="21" t="s">
        <v>320</v>
      </c>
      <c r="B321" s="59" t="s">
        <v>72</v>
      </c>
      <c r="C321" s="35" t="s">
        <v>156</v>
      </c>
      <c r="D321" s="28">
        <v>810</v>
      </c>
      <c r="E321" s="157">
        <f>300+300-182</f>
        <v>418</v>
      </c>
      <c r="F321" s="157">
        <f>300+300-182</f>
        <v>418</v>
      </c>
      <c r="G321" s="343">
        <f t="shared" si="17"/>
        <v>100</v>
      </c>
    </row>
    <row r="322" spans="1:7" ht="51">
      <c r="A322" s="44" t="s">
        <v>351</v>
      </c>
      <c r="B322" s="59" t="s">
        <v>72</v>
      </c>
      <c r="C322" s="35" t="s">
        <v>338</v>
      </c>
      <c r="D322" s="46"/>
      <c r="E322" s="157">
        <f>E323</f>
        <v>182</v>
      </c>
      <c r="F322" s="157">
        <f>F323</f>
        <v>182</v>
      </c>
      <c r="G322" s="343">
        <f t="shared" si="17"/>
        <v>100</v>
      </c>
    </row>
    <row r="323" spans="1:7" ht="30.75" customHeight="1">
      <c r="A323" s="21" t="s">
        <v>303</v>
      </c>
      <c r="B323" s="59" t="s">
        <v>72</v>
      </c>
      <c r="C323" s="35" t="s">
        <v>338</v>
      </c>
      <c r="D323" s="28">
        <v>240</v>
      </c>
      <c r="E323" s="157">
        <v>182</v>
      </c>
      <c r="F323" s="157">
        <v>182</v>
      </c>
      <c r="G323" s="343">
        <f t="shared" si="17"/>
        <v>100</v>
      </c>
    </row>
    <row r="324" spans="1:7" ht="12.75">
      <c r="A324" s="429" t="s">
        <v>16</v>
      </c>
      <c r="B324" s="430"/>
      <c r="C324" s="430"/>
      <c r="D324" s="431"/>
      <c r="E324" s="152">
        <f>E11+E80+E88+E104+E141+E253+E277+E302+E318</f>
        <v>133606.59294</v>
      </c>
      <c r="F324" s="152">
        <f>F11+F80+F88+F104+F141+F253+F277+F302+F318</f>
        <v>126338.87451000001</v>
      </c>
      <c r="G324" s="343">
        <f t="shared" si="17"/>
        <v>94.56035943281348</v>
      </c>
    </row>
    <row r="325" spans="3:7" ht="12.75">
      <c r="C325" s="308"/>
      <c r="D325" s="308"/>
      <c r="E325" s="160"/>
      <c r="F325" s="160"/>
      <c r="G325" s="344"/>
    </row>
    <row r="326" spans="4:7" ht="12.75">
      <c r="D326" s="136"/>
      <c r="E326" s="295"/>
      <c r="F326" s="295"/>
      <c r="G326" s="345"/>
    </row>
    <row r="327" spans="4:7" ht="12.75">
      <c r="D327" s="136"/>
      <c r="E327" s="255"/>
      <c r="F327" s="255"/>
      <c r="G327" s="346"/>
    </row>
    <row r="328" spans="4:7" ht="12.75">
      <c r="D328" s="136"/>
      <c r="E328" s="160"/>
      <c r="F328" s="160"/>
      <c r="G328" s="344"/>
    </row>
    <row r="329" spans="4:7" ht="12.75">
      <c r="D329" s="136"/>
      <c r="E329" s="160"/>
      <c r="F329" s="160"/>
      <c r="G329" s="344"/>
    </row>
    <row r="330" spans="4:7" ht="12.75">
      <c r="D330" s="136"/>
      <c r="E330" s="160"/>
      <c r="F330" s="160"/>
      <c r="G330" s="344"/>
    </row>
    <row r="331" spans="4:7" ht="12.75">
      <c r="D331" s="136"/>
      <c r="E331" s="160"/>
      <c r="F331" s="160"/>
      <c r="G331" s="344"/>
    </row>
    <row r="332" spans="4:7" ht="12.75">
      <c r="D332" s="136"/>
      <c r="E332" s="160"/>
      <c r="F332" s="160"/>
      <c r="G332" s="344"/>
    </row>
    <row r="333" spans="4:7" ht="12.75">
      <c r="D333" s="136"/>
      <c r="E333" s="160"/>
      <c r="F333" s="160"/>
      <c r="G333" s="344"/>
    </row>
    <row r="334" spans="4:7" ht="12.75">
      <c r="D334" s="136"/>
      <c r="E334" s="160"/>
      <c r="F334" s="160"/>
      <c r="G334" s="344"/>
    </row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</sheetData>
  <sheetProtection/>
  <autoFilter ref="A10:E324"/>
  <mergeCells count="2">
    <mergeCell ref="A324:D324"/>
    <mergeCell ref="A7:G7"/>
  </mergeCells>
  <printOptions/>
  <pageMargins left="0.5118110236220472" right="0" top="0" bottom="0" header="0" footer="0"/>
  <pageSetup fitToHeight="0" horizontalDpi="600" verticalDpi="600" orientation="portrait" paperSize="9" scale="7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35"/>
  <sheetViews>
    <sheetView tabSelected="1" view="pageBreakPreview" zoomScale="83" zoomScaleNormal="85" zoomScaleSheetLayoutView="83" zoomScalePageLayoutView="75" workbookViewId="0" topLeftCell="A1">
      <selection activeCell="H5" sqref="H5"/>
    </sheetView>
  </sheetViews>
  <sheetFormatPr defaultColWidth="8.8515625" defaultRowHeight="15"/>
  <cols>
    <col min="1" max="1" width="64.7109375" style="51" customWidth="1"/>
    <col min="2" max="2" width="6.28125" style="51" customWidth="1"/>
    <col min="3" max="3" width="6.7109375" style="9" customWidth="1"/>
    <col min="4" max="4" width="9.8515625" style="9" customWidth="1"/>
    <col min="5" max="5" width="6.7109375" style="9" customWidth="1"/>
    <col min="6" max="7" width="12.421875" style="148" customWidth="1"/>
    <col min="8" max="8" width="7.28125" style="341" customWidth="1"/>
    <col min="9" max="16384" width="8.8515625" style="8" customWidth="1"/>
  </cols>
  <sheetData>
    <row r="1" spans="6:8" ht="12.75">
      <c r="F1" s="145"/>
      <c r="G1" s="145"/>
      <c r="H1" s="338" t="s">
        <v>58</v>
      </c>
    </row>
    <row r="2" spans="6:8" ht="12.75">
      <c r="F2" s="145"/>
      <c r="G2" s="145"/>
      <c r="H2" s="338" t="s">
        <v>57</v>
      </c>
    </row>
    <row r="3" spans="6:8" ht="12.75">
      <c r="F3" s="146"/>
      <c r="G3" s="146"/>
      <c r="H3" s="339" t="s">
        <v>121</v>
      </c>
    </row>
    <row r="4" spans="6:8" ht="12.75">
      <c r="F4" s="146"/>
      <c r="G4" s="146"/>
      <c r="H4" s="339" t="s">
        <v>572</v>
      </c>
    </row>
    <row r="5" spans="6:8" ht="12.75">
      <c r="F5" s="145"/>
      <c r="G5" s="145"/>
      <c r="H5" s="338" t="s">
        <v>564</v>
      </c>
    </row>
    <row r="6" spans="6:8" ht="12.75">
      <c r="F6" s="147"/>
      <c r="G6" s="147"/>
      <c r="H6" s="340"/>
    </row>
    <row r="7" spans="1:8" s="86" customFormat="1" ht="47.25" customHeight="1">
      <c r="A7" s="432" t="s">
        <v>563</v>
      </c>
      <c r="B7" s="432"/>
      <c r="C7" s="432"/>
      <c r="D7" s="432"/>
      <c r="E7" s="432"/>
      <c r="F7" s="432"/>
      <c r="G7" s="432"/>
      <c r="H7" s="432"/>
    </row>
    <row r="8" ht="22.5" customHeight="1">
      <c r="G8" s="341" t="s">
        <v>554</v>
      </c>
    </row>
    <row r="9" spans="1:8" s="12" customFormat="1" ht="22.5" customHeight="1">
      <c r="A9" s="10" t="s">
        <v>56</v>
      </c>
      <c r="B9" s="99" t="s">
        <v>562</v>
      </c>
      <c r="C9" s="10" t="s">
        <v>53</v>
      </c>
      <c r="D9" s="11" t="s">
        <v>55</v>
      </c>
      <c r="E9" s="11" t="s">
        <v>54</v>
      </c>
      <c r="F9" s="149" t="s">
        <v>552</v>
      </c>
      <c r="G9" s="149" t="s">
        <v>553</v>
      </c>
      <c r="H9" s="342" t="s">
        <v>557</v>
      </c>
    </row>
    <row r="10" spans="1:8" s="9" customFormat="1" ht="12.75">
      <c r="A10" s="13"/>
      <c r="B10" s="51"/>
      <c r="C10" s="10"/>
      <c r="D10" s="11"/>
      <c r="E10" s="11"/>
      <c r="F10" s="149"/>
      <c r="G10" s="149"/>
      <c r="H10" s="342"/>
    </row>
    <row r="11" spans="1:8" s="9" customFormat="1" ht="12.75">
      <c r="A11" s="13"/>
      <c r="B11" s="13" t="s">
        <v>228</v>
      </c>
      <c r="C11" s="10"/>
      <c r="D11" s="11"/>
      <c r="E11" s="11"/>
      <c r="F11" s="149"/>
      <c r="G11" s="149"/>
      <c r="H11" s="342"/>
    </row>
    <row r="12" spans="1:8" s="76" customFormat="1" ht="28.5">
      <c r="A12" s="63" t="s">
        <v>83</v>
      </c>
      <c r="C12" s="65" t="s">
        <v>82</v>
      </c>
      <c r="D12" s="64"/>
      <c r="E12" s="64"/>
      <c r="F12" s="150">
        <f>F13+F18+F40+F50+F55+F45</f>
        <v>23359.38017</v>
      </c>
      <c r="G12" s="150">
        <f>G13+G18+G40+G50+G55+G45</f>
        <v>22747.504610000004</v>
      </c>
      <c r="H12" s="343">
        <f aca="true" t="shared" si="0" ref="H12:H75">G12/F12*100</f>
        <v>97.3806001891017</v>
      </c>
    </row>
    <row r="13" spans="1:8" s="76" customFormat="1" ht="42.75">
      <c r="A13" s="69" t="s">
        <v>46</v>
      </c>
      <c r="B13" s="13"/>
      <c r="C13" s="68" t="s">
        <v>45</v>
      </c>
      <c r="D13" s="84"/>
      <c r="E13" s="84"/>
      <c r="F13" s="151">
        <f aca="true" t="shared" si="1" ref="F13:G16">F14</f>
        <v>78.73393</v>
      </c>
      <c r="G13" s="151">
        <f t="shared" si="1"/>
        <v>78.73393</v>
      </c>
      <c r="H13" s="343">
        <f t="shared" si="0"/>
        <v>100</v>
      </c>
    </row>
    <row r="14" spans="1:8" s="19" customFormat="1" ht="25.5">
      <c r="A14" s="13" t="s">
        <v>153</v>
      </c>
      <c r="C14" s="33" t="s">
        <v>45</v>
      </c>
      <c r="D14" s="32" t="s">
        <v>52</v>
      </c>
      <c r="E14" s="32"/>
      <c r="F14" s="152">
        <f t="shared" si="1"/>
        <v>78.73393</v>
      </c>
      <c r="G14" s="152">
        <f t="shared" si="1"/>
        <v>78.73393</v>
      </c>
      <c r="H14" s="343">
        <f t="shared" si="0"/>
        <v>100</v>
      </c>
    </row>
    <row r="15" spans="1:8" s="19" customFormat="1" ht="25.5">
      <c r="A15" s="15" t="s">
        <v>48</v>
      </c>
      <c r="B15" s="63"/>
      <c r="C15" s="33" t="s">
        <v>45</v>
      </c>
      <c r="D15" s="11" t="s">
        <v>47</v>
      </c>
      <c r="E15" s="11"/>
      <c r="F15" s="149">
        <f t="shared" si="1"/>
        <v>78.73393</v>
      </c>
      <c r="G15" s="149">
        <f t="shared" si="1"/>
        <v>78.73393</v>
      </c>
      <c r="H15" s="343">
        <f t="shared" si="0"/>
        <v>100</v>
      </c>
    </row>
    <row r="16" spans="1:8" ht="38.25">
      <c r="A16" s="31" t="s">
        <v>30</v>
      </c>
      <c r="B16" s="69"/>
      <c r="C16" s="29" t="s">
        <v>45</v>
      </c>
      <c r="D16" s="28" t="s">
        <v>40</v>
      </c>
      <c r="E16" s="28"/>
      <c r="F16" s="153">
        <f t="shared" si="1"/>
        <v>78.73393</v>
      </c>
      <c r="G16" s="153">
        <f t="shared" si="1"/>
        <v>78.73393</v>
      </c>
      <c r="H16" s="343">
        <f t="shared" si="0"/>
        <v>100</v>
      </c>
    </row>
    <row r="17" spans="1:8" ht="28.5" customHeight="1">
      <c r="A17" s="21" t="s">
        <v>303</v>
      </c>
      <c r="B17" s="13"/>
      <c r="C17" s="29" t="s">
        <v>45</v>
      </c>
      <c r="D17" s="28" t="s">
        <v>40</v>
      </c>
      <c r="E17" s="28">
        <v>240</v>
      </c>
      <c r="F17" s="153">
        <f>100-21.26607</f>
        <v>78.73393</v>
      </c>
      <c r="G17" s="153">
        <f>100-21.26607</f>
        <v>78.73393</v>
      </c>
      <c r="H17" s="343">
        <f t="shared" si="0"/>
        <v>100</v>
      </c>
    </row>
    <row r="18" spans="1:8" s="85" customFormat="1" ht="57">
      <c r="A18" s="63" t="s">
        <v>37</v>
      </c>
      <c r="B18" s="15"/>
      <c r="C18" s="65" t="s">
        <v>36</v>
      </c>
      <c r="D18" s="64"/>
      <c r="E18" s="64"/>
      <c r="F18" s="150">
        <f>F19+F27</f>
        <v>11794.90624</v>
      </c>
      <c r="G18" s="150">
        <f>G19+G27</f>
        <v>11794.90068</v>
      </c>
      <c r="H18" s="343">
        <f t="shared" si="0"/>
        <v>99.99995286100723</v>
      </c>
    </row>
    <row r="19" spans="1:8" s="19" customFormat="1" ht="25.5" hidden="1">
      <c r="A19" s="13" t="s">
        <v>127</v>
      </c>
      <c r="B19" s="31"/>
      <c r="C19" s="10" t="s">
        <v>36</v>
      </c>
      <c r="D19" s="11" t="s">
        <v>2</v>
      </c>
      <c r="E19" s="11"/>
      <c r="F19" s="149">
        <f>F20</f>
        <v>0</v>
      </c>
      <c r="G19" s="149">
        <f>G20</f>
        <v>0</v>
      </c>
      <c r="H19" s="343" t="e">
        <f t="shared" si="0"/>
        <v>#DIV/0!</v>
      </c>
    </row>
    <row r="20" spans="1:8" s="16" customFormat="1" ht="51" hidden="1">
      <c r="A20" s="15" t="s">
        <v>128</v>
      </c>
      <c r="B20" s="31"/>
      <c r="C20" s="10" t="s">
        <v>36</v>
      </c>
      <c r="D20" s="11" t="s">
        <v>9</v>
      </c>
      <c r="E20" s="11"/>
      <c r="F20" s="149">
        <f>F21+F24</f>
        <v>0</v>
      </c>
      <c r="G20" s="149">
        <f>G21+G24</f>
        <v>0</v>
      </c>
      <c r="H20" s="343" t="e">
        <f t="shared" si="0"/>
        <v>#DIV/0!</v>
      </c>
    </row>
    <row r="21" spans="1:8" s="19" customFormat="1" ht="81.75" customHeight="1" hidden="1">
      <c r="A21" s="21" t="s">
        <v>129</v>
      </c>
      <c r="B21" s="31"/>
      <c r="C21" s="18" t="s">
        <v>36</v>
      </c>
      <c r="D21" s="1" t="s">
        <v>130</v>
      </c>
      <c r="E21" s="1"/>
      <c r="F21" s="154">
        <f>F22+F23</f>
        <v>0</v>
      </c>
      <c r="G21" s="154">
        <f>G22+G23</f>
        <v>0</v>
      </c>
      <c r="H21" s="343" t="e">
        <f t="shared" si="0"/>
        <v>#DIV/0!</v>
      </c>
    </row>
    <row r="22" spans="1:8" s="19" customFormat="1" ht="18.75" customHeight="1" hidden="1">
      <c r="A22" s="31" t="s">
        <v>304</v>
      </c>
      <c r="B22" s="63"/>
      <c r="C22" s="18" t="s">
        <v>36</v>
      </c>
      <c r="D22" s="1" t="s">
        <v>130</v>
      </c>
      <c r="E22" s="1" t="s">
        <v>305</v>
      </c>
      <c r="F22" s="154"/>
      <c r="G22" s="154"/>
      <c r="H22" s="343" t="e">
        <f t="shared" si="0"/>
        <v>#DIV/0!</v>
      </c>
    </row>
    <row r="23" spans="1:8" s="19" customFormat="1" ht="28.5" customHeight="1" hidden="1">
      <c r="A23" s="21" t="s">
        <v>303</v>
      </c>
      <c r="B23" s="13"/>
      <c r="C23" s="18" t="s">
        <v>36</v>
      </c>
      <c r="D23" s="1" t="s">
        <v>130</v>
      </c>
      <c r="E23" s="28">
        <v>240</v>
      </c>
      <c r="F23" s="154"/>
      <c r="G23" s="154"/>
      <c r="H23" s="343" t="e">
        <f t="shared" si="0"/>
        <v>#DIV/0!</v>
      </c>
    </row>
    <row r="24" spans="1:8" s="19" customFormat="1" ht="78.75" customHeight="1" hidden="1">
      <c r="A24" s="21" t="s">
        <v>132</v>
      </c>
      <c r="B24" s="15"/>
      <c r="C24" s="18" t="s">
        <v>36</v>
      </c>
      <c r="D24" s="1" t="s">
        <v>131</v>
      </c>
      <c r="E24" s="1"/>
      <c r="F24" s="154">
        <f>F25+F26</f>
        <v>0</v>
      </c>
      <c r="G24" s="154">
        <f>G25+G26</f>
        <v>0</v>
      </c>
      <c r="H24" s="343" t="e">
        <f t="shared" si="0"/>
        <v>#DIV/0!</v>
      </c>
    </row>
    <row r="25" spans="1:8" s="19" customFormat="1" ht="12.75" hidden="1">
      <c r="A25" s="31" t="s">
        <v>304</v>
      </c>
      <c r="B25" s="21"/>
      <c r="C25" s="18" t="s">
        <v>36</v>
      </c>
      <c r="D25" s="1" t="s">
        <v>131</v>
      </c>
      <c r="E25" s="1" t="s">
        <v>305</v>
      </c>
      <c r="F25" s="154"/>
      <c r="G25" s="154"/>
      <c r="H25" s="343" t="e">
        <f t="shared" si="0"/>
        <v>#DIV/0!</v>
      </c>
    </row>
    <row r="26" spans="1:8" s="19" customFormat="1" ht="28.5" customHeight="1" hidden="1">
      <c r="A26" s="21" t="s">
        <v>303</v>
      </c>
      <c r="B26" s="31"/>
      <c r="C26" s="18" t="s">
        <v>36</v>
      </c>
      <c r="D26" s="1" t="s">
        <v>131</v>
      </c>
      <c r="E26" s="28">
        <v>240</v>
      </c>
      <c r="F26" s="154"/>
      <c r="G26" s="154"/>
      <c r="H26" s="343" t="e">
        <f t="shared" si="0"/>
        <v>#DIV/0!</v>
      </c>
    </row>
    <row r="27" spans="1:8" ht="25.5">
      <c r="A27" s="13" t="s">
        <v>153</v>
      </c>
      <c r="B27" s="31"/>
      <c r="C27" s="10" t="s">
        <v>36</v>
      </c>
      <c r="D27" s="32" t="s">
        <v>52</v>
      </c>
      <c r="E27" s="32"/>
      <c r="F27" s="152">
        <f>F28+F31</f>
        <v>11794.90624</v>
      </c>
      <c r="G27" s="152">
        <f>G28+G31</f>
        <v>11794.90068</v>
      </c>
      <c r="H27" s="343">
        <f t="shared" si="0"/>
        <v>99.99995286100723</v>
      </c>
    </row>
    <row r="28" spans="1:8" ht="26.25" customHeight="1">
      <c r="A28" s="15" t="s">
        <v>51</v>
      </c>
      <c r="B28" s="21"/>
      <c r="C28" s="10" t="s">
        <v>36</v>
      </c>
      <c r="D28" s="11" t="s">
        <v>50</v>
      </c>
      <c r="E28" s="11"/>
      <c r="F28" s="149">
        <f>F29</f>
        <v>1454.91338</v>
      </c>
      <c r="G28" s="149">
        <f>G29</f>
        <v>1454.9099999999999</v>
      </c>
      <c r="H28" s="343">
        <f t="shared" si="0"/>
        <v>99.99976768376409</v>
      </c>
    </row>
    <row r="29" spans="1:8" ht="39" customHeight="1">
      <c r="A29" s="24" t="s">
        <v>28</v>
      </c>
      <c r="B29" s="31"/>
      <c r="C29" s="18" t="s">
        <v>36</v>
      </c>
      <c r="D29" s="28" t="s">
        <v>49</v>
      </c>
      <c r="E29" s="28"/>
      <c r="F29" s="153">
        <f>F30</f>
        <v>1454.91338</v>
      </c>
      <c r="G29" s="153">
        <f>G30</f>
        <v>1454.9099999999999</v>
      </c>
      <c r="H29" s="343">
        <f t="shared" si="0"/>
        <v>99.99976768376409</v>
      </c>
    </row>
    <row r="30" spans="1:8" ht="25.5">
      <c r="A30" s="31" t="s">
        <v>304</v>
      </c>
      <c r="B30" s="31"/>
      <c r="C30" s="18" t="s">
        <v>36</v>
      </c>
      <c r="D30" s="28" t="s">
        <v>49</v>
      </c>
      <c r="E30" s="28">
        <v>120</v>
      </c>
      <c r="F30" s="153">
        <f>1260+370+370-200-345.08662</f>
        <v>1454.91338</v>
      </c>
      <c r="G30" s="153">
        <f>1161.76+293.15</f>
        <v>1454.9099999999999</v>
      </c>
      <c r="H30" s="343">
        <f t="shared" si="0"/>
        <v>99.99976768376409</v>
      </c>
    </row>
    <row r="31" spans="1:8" ht="25.5">
      <c r="A31" s="15" t="s">
        <v>48</v>
      </c>
      <c r="B31" s="13"/>
      <c r="C31" s="10" t="s">
        <v>36</v>
      </c>
      <c r="D31" s="11" t="s">
        <v>47</v>
      </c>
      <c r="E31" s="11"/>
      <c r="F31" s="149">
        <f>F32+F34</f>
        <v>10339.99286</v>
      </c>
      <c r="G31" s="149">
        <f>G32+G34</f>
        <v>10339.99068</v>
      </c>
      <c r="H31" s="343">
        <f t="shared" si="0"/>
        <v>99.9999789168133</v>
      </c>
    </row>
    <row r="32" spans="1:8" ht="38.25">
      <c r="A32" s="24" t="s">
        <v>29</v>
      </c>
      <c r="B32" s="15"/>
      <c r="C32" s="18" t="s">
        <v>36</v>
      </c>
      <c r="D32" s="28" t="s">
        <v>43</v>
      </c>
      <c r="E32" s="28"/>
      <c r="F32" s="153">
        <f>F33</f>
        <v>7011.70649</v>
      </c>
      <c r="G32" s="153">
        <f>G33</f>
        <v>7011.71</v>
      </c>
      <c r="H32" s="343">
        <f t="shared" si="0"/>
        <v>100.00005005914045</v>
      </c>
    </row>
    <row r="33" spans="1:8" ht="25.5">
      <c r="A33" s="31" t="s">
        <v>304</v>
      </c>
      <c r="B33" s="24"/>
      <c r="C33" s="18" t="s">
        <v>36</v>
      </c>
      <c r="D33" s="28" t="s">
        <v>43</v>
      </c>
      <c r="E33" s="28">
        <v>120</v>
      </c>
      <c r="F33" s="153">
        <v>7011.70649</v>
      </c>
      <c r="G33" s="153">
        <f>5430.05+1581.66</f>
        <v>7011.71</v>
      </c>
      <c r="H33" s="343">
        <f t="shared" si="0"/>
        <v>100.00005005914045</v>
      </c>
    </row>
    <row r="34" spans="1:8" ht="26.25" customHeight="1">
      <c r="A34" s="31" t="s">
        <v>30</v>
      </c>
      <c r="B34" s="31"/>
      <c r="C34" s="18" t="s">
        <v>36</v>
      </c>
      <c r="D34" s="28" t="s">
        <v>40</v>
      </c>
      <c r="E34" s="28"/>
      <c r="F34" s="153">
        <f>F35+F38+F39+F36+F37</f>
        <v>3328.2863700000003</v>
      </c>
      <c r="G34" s="153">
        <f>G35+G38+G39+G36+G37</f>
        <v>3328.2806800000003</v>
      </c>
      <c r="H34" s="343">
        <f t="shared" si="0"/>
        <v>99.99982904115309</v>
      </c>
    </row>
    <row r="35" spans="1:8" ht="12.75" hidden="1">
      <c r="A35" s="31" t="s">
        <v>304</v>
      </c>
      <c r="B35" s="15"/>
      <c r="C35" s="18" t="s">
        <v>36</v>
      </c>
      <c r="D35" s="28" t="s">
        <v>40</v>
      </c>
      <c r="E35" s="28">
        <v>120</v>
      </c>
      <c r="F35" s="153"/>
      <c r="G35" s="153"/>
      <c r="H35" s="343" t="e">
        <f t="shared" si="0"/>
        <v>#DIV/0!</v>
      </c>
    </row>
    <row r="36" spans="1:8" ht="25.5" hidden="1">
      <c r="A36" s="25" t="s">
        <v>39</v>
      </c>
      <c r="B36" s="24"/>
      <c r="C36" s="18" t="s">
        <v>36</v>
      </c>
      <c r="D36" s="28" t="s">
        <v>40</v>
      </c>
      <c r="E36" s="28">
        <v>242</v>
      </c>
      <c r="F36" s="153">
        <v>0</v>
      </c>
      <c r="G36" s="153">
        <v>0</v>
      </c>
      <c r="H36" s="343" t="e">
        <f t="shared" si="0"/>
        <v>#DIV/0!</v>
      </c>
    </row>
    <row r="37" spans="1:8" ht="30" customHeight="1">
      <c r="A37" s="21" t="s">
        <v>303</v>
      </c>
      <c r="B37" s="31"/>
      <c r="C37" s="18" t="s">
        <v>36</v>
      </c>
      <c r="D37" s="28" t="s">
        <v>40</v>
      </c>
      <c r="E37" s="28">
        <v>120</v>
      </c>
      <c r="F37" s="153">
        <v>2.8</v>
      </c>
      <c r="G37" s="153">
        <v>2.8</v>
      </c>
      <c r="H37" s="343">
        <f t="shared" si="0"/>
        <v>100</v>
      </c>
    </row>
    <row r="38" spans="1:8" ht="30" customHeight="1">
      <c r="A38" s="21" t="s">
        <v>303</v>
      </c>
      <c r="B38" s="31"/>
      <c r="C38" s="18" t="s">
        <v>36</v>
      </c>
      <c r="D38" s="28" t="s">
        <v>40</v>
      </c>
      <c r="E38" s="28">
        <v>240</v>
      </c>
      <c r="F38" s="153">
        <f>224.67254+6.437+557.82779+2457.92356+1.7+20.43+42.7648</f>
        <v>3311.75569</v>
      </c>
      <c r="G38" s="153">
        <f>224.67+6.44+557.83+2457.92+1.7+20.43+42.76</f>
        <v>3311.75</v>
      </c>
      <c r="H38" s="343">
        <f t="shared" si="0"/>
        <v>99.99982818780934</v>
      </c>
    </row>
    <row r="39" spans="1:8" ht="15.75" customHeight="1">
      <c r="A39" s="130" t="s">
        <v>307</v>
      </c>
      <c r="B39" s="31"/>
      <c r="C39" s="18" t="s">
        <v>36</v>
      </c>
      <c r="D39" s="28" t="s">
        <v>40</v>
      </c>
      <c r="E39" s="28">
        <v>850</v>
      </c>
      <c r="F39" s="153">
        <f>70-50-6.26932</f>
        <v>13.73068</v>
      </c>
      <c r="G39" s="153">
        <f>70-50-6.26932</f>
        <v>13.73068</v>
      </c>
      <c r="H39" s="343">
        <f t="shared" si="0"/>
        <v>100</v>
      </c>
    </row>
    <row r="40" spans="1:8" s="80" customFormat="1" ht="18.75" customHeight="1" hidden="1">
      <c r="A40" s="69" t="s">
        <v>133</v>
      </c>
      <c r="B40" s="25"/>
      <c r="C40" s="66" t="s">
        <v>126</v>
      </c>
      <c r="D40" s="81"/>
      <c r="E40" s="81"/>
      <c r="F40" s="150">
        <f aca="true" t="shared" si="2" ref="F40:G43">F41</f>
        <v>0</v>
      </c>
      <c r="G40" s="150">
        <f t="shared" si="2"/>
        <v>0</v>
      </c>
      <c r="H40" s="343" t="e">
        <f t="shared" si="0"/>
        <v>#DIV/0!</v>
      </c>
    </row>
    <row r="41" spans="1:8" s="56" customFormat="1" ht="12.75" hidden="1">
      <c r="A41" s="13" t="s">
        <v>111</v>
      </c>
      <c r="B41" s="31"/>
      <c r="C41" s="58" t="s">
        <v>126</v>
      </c>
      <c r="D41" s="32" t="s">
        <v>0</v>
      </c>
      <c r="E41" s="32"/>
      <c r="F41" s="152">
        <f t="shared" si="2"/>
        <v>0</v>
      </c>
      <c r="G41" s="152">
        <f t="shared" si="2"/>
        <v>0</v>
      </c>
      <c r="H41" s="343" t="e">
        <f t="shared" si="0"/>
        <v>#DIV/0!</v>
      </c>
    </row>
    <row r="42" spans="1:8" s="56" customFormat="1" ht="12.75" hidden="1">
      <c r="A42" s="13" t="s">
        <v>153</v>
      </c>
      <c r="B42" s="31"/>
      <c r="C42" s="58" t="s">
        <v>126</v>
      </c>
      <c r="D42" s="11" t="s">
        <v>134</v>
      </c>
      <c r="E42" s="11"/>
      <c r="F42" s="149">
        <f t="shared" si="2"/>
        <v>0</v>
      </c>
      <c r="G42" s="149">
        <f t="shared" si="2"/>
        <v>0</v>
      </c>
      <c r="H42" s="343" t="e">
        <f t="shared" si="0"/>
        <v>#DIV/0!</v>
      </c>
    </row>
    <row r="43" spans="1:8" s="19" customFormat="1" ht="25.5" hidden="1">
      <c r="A43" s="31" t="s">
        <v>30</v>
      </c>
      <c r="B43" s="69"/>
      <c r="C43" s="59" t="s">
        <v>126</v>
      </c>
      <c r="D43" s="28" t="s">
        <v>152</v>
      </c>
      <c r="E43" s="28"/>
      <c r="F43" s="153">
        <f t="shared" si="2"/>
        <v>0</v>
      </c>
      <c r="G43" s="153">
        <f t="shared" si="2"/>
        <v>0</v>
      </c>
      <c r="H43" s="343" t="e">
        <f t="shared" si="0"/>
        <v>#DIV/0!</v>
      </c>
    </row>
    <row r="44" spans="1:8" s="19" customFormat="1" ht="25.5" hidden="1">
      <c r="A44" s="31" t="s">
        <v>38</v>
      </c>
      <c r="B44" s="13"/>
      <c r="C44" s="59" t="s">
        <v>126</v>
      </c>
      <c r="D44" s="28" t="s">
        <v>152</v>
      </c>
      <c r="E44" s="28">
        <v>244</v>
      </c>
      <c r="F44" s="153"/>
      <c r="G44" s="153"/>
      <c r="H44" s="343" t="e">
        <f t="shared" si="0"/>
        <v>#DIV/0!</v>
      </c>
    </row>
    <row r="45" spans="1:8" s="80" customFormat="1" ht="30.75" customHeight="1">
      <c r="A45" s="135" t="s">
        <v>325</v>
      </c>
      <c r="B45" s="13"/>
      <c r="C45" s="65" t="s">
        <v>324</v>
      </c>
      <c r="D45" s="70"/>
      <c r="E45" s="73"/>
      <c r="F45" s="155">
        <f aca="true" t="shared" si="3" ref="F45:G48">F46</f>
        <v>50.5</v>
      </c>
      <c r="G45" s="155">
        <f t="shared" si="3"/>
        <v>50.5</v>
      </c>
      <c r="H45" s="343">
        <f t="shared" si="0"/>
        <v>100</v>
      </c>
    </row>
    <row r="46" spans="1:8" s="16" customFormat="1" ht="25.5">
      <c r="A46" s="13" t="s">
        <v>111</v>
      </c>
      <c r="B46" s="31"/>
      <c r="C46" s="10" t="s">
        <v>324</v>
      </c>
      <c r="D46" s="53" t="s">
        <v>52</v>
      </c>
      <c r="E46" s="53"/>
      <c r="F46" s="149">
        <f t="shared" si="3"/>
        <v>50.5</v>
      </c>
      <c r="G46" s="149">
        <f t="shared" si="3"/>
        <v>50.5</v>
      </c>
      <c r="H46" s="343">
        <f t="shared" si="0"/>
        <v>100</v>
      </c>
    </row>
    <row r="47" spans="1:8" s="16" customFormat="1" ht="25.5">
      <c r="A47" s="15" t="s">
        <v>78</v>
      </c>
      <c r="B47" s="31"/>
      <c r="C47" s="10" t="s">
        <v>324</v>
      </c>
      <c r="D47" s="54" t="s">
        <v>47</v>
      </c>
      <c r="E47" s="54"/>
      <c r="F47" s="149">
        <f t="shared" si="3"/>
        <v>50.5</v>
      </c>
      <c r="G47" s="149">
        <f t="shared" si="3"/>
        <v>50.5</v>
      </c>
      <c r="H47" s="343">
        <f t="shared" si="0"/>
        <v>100</v>
      </c>
    </row>
    <row r="48" spans="1:8" s="19" customFormat="1" ht="25.5">
      <c r="A48" s="24" t="s">
        <v>326</v>
      </c>
      <c r="B48" s="82"/>
      <c r="C48" s="18" t="s">
        <v>324</v>
      </c>
      <c r="D48" s="28" t="s">
        <v>323</v>
      </c>
      <c r="E48" s="28"/>
      <c r="F48" s="153">
        <f t="shared" si="3"/>
        <v>50.5</v>
      </c>
      <c r="G48" s="153">
        <f t="shared" si="3"/>
        <v>50.5</v>
      </c>
      <c r="H48" s="343">
        <f t="shared" si="0"/>
        <v>100</v>
      </c>
    </row>
    <row r="49" spans="1:8" s="19" customFormat="1" ht="15" customHeight="1">
      <c r="A49" s="130" t="s">
        <v>327</v>
      </c>
      <c r="B49" s="13"/>
      <c r="C49" s="18" t="s">
        <v>324</v>
      </c>
      <c r="D49" s="28" t="s">
        <v>323</v>
      </c>
      <c r="E49" s="28">
        <v>540</v>
      </c>
      <c r="F49" s="153">
        <v>50.5</v>
      </c>
      <c r="G49" s="153">
        <v>50.5</v>
      </c>
      <c r="H49" s="343">
        <f t="shared" si="0"/>
        <v>100</v>
      </c>
    </row>
    <row r="50" spans="1:8" s="80" customFormat="1" ht="28.5">
      <c r="A50" s="82" t="s">
        <v>118</v>
      </c>
      <c r="B50" s="15"/>
      <c r="C50" s="65" t="s">
        <v>77</v>
      </c>
      <c r="D50" s="70"/>
      <c r="E50" s="73"/>
      <c r="F50" s="155">
        <f aca="true" t="shared" si="4" ref="F50:G53">F51</f>
        <v>400</v>
      </c>
      <c r="G50" s="155">
        <f t="shared" si="4"/>
        <v>0</v>
      </c>
      <c r="H50" s="343">
        <f t="shared" si="0"/>
        <v>0</v>
      </c>
    </row>
    <row r="51" spans="1:8" s="16" customFormat="1" ht="25.5">
      <c r="A51" s="13" t="s">
        <v>111</v>
      </c>
      <c r="B51" s="24"/>
      <c r="C51" s="10" t="s">
        <v>77</v>
      </c>
      <c r="D51" s="53" t="s">
        <v>0</v>
      </c>
      <c r="E51" s="53"/>
      <c r="F51" s="149">
        <f t="shared" si="4"/>
        <v>400</v>
      </c>
      <c r="G51" s="149">
        <f t="shared" si="4"/>
        <v>0</v>
      </c>
      <c r="H51" s="343">
        <f t="shared" si="0"/>
        <v>0</v>
      </c>
    </row>
    <row r="52" spans="1:8" s="16" customFormat="1" ht="25.5">
      <c r="A52" s="15" t="s">
        <v>78</v>
      </c>
      <c r="B52" s="24"/>
      <c r="C52" s="10" t="s">
        <v>77</v>
      </c>
      <c r="D52" s="54" t="s">
        <v>74</v>
      </c>
      <c r="E52" s="54"/>
      <c r="F52" s="149">
        <f t="shared" si="4"/>
        <v>400</v>
      </c>
      <c r="G52" s="149">
        <f t="shared" si="4"/>
        <v>0</v>
      </c>
      <c r="H52" s="343">
        <f t="shared" si="0"/>
        <v>0</v>
      </c>
    </row>
    <row r="53" spans="1:8" s="19" customFormat="1" ht="38.25">
      <c r="A53" s="24" t="s">
        <v>154</v>
      </c>
      <c r="B53" s="63"/>
      <c r="C53" s="18" t="s">
        <v>77</v>
      </c>
      <c r="D53" s="28" t="s">
        <v>76</v>
      </c>
      <c r="E53" s="28"/>
      <c r="F53" s="153">
        <f t="shared" si="4"/>
        <v>400</v>
      </c>
      <c r="G53" s="153">
        <f t="shared" si="4"/>
        <v>0</v>
      </c>
      <c r="H53" s="343">
        <f t="shared" si="0"/>
        <v>0</v>
      </c>
    </row>
    <row r="54" spans="1:8" s="19" customFormat="1" ht="25.5">
      <c r="A54" s="24" t="s">
        <v>113</v>
      </c>
      <c r="B54" s="13"/>
      <c r="C54" s="18" t="s">
        <v>77</v>
      </c>
      <c r="D54" s="28" t="s">
        <v>76</v>
      </c>
      <c r="E54" s="28">
        <v>870</v>
      </c>
      <c r="F54" s="153">
        <v>400</v>
      </c>
      <c r="G54" s="153">
        <v>0</v>
      </c>
      <c r="H54" s="343">
        <f t="shared" si="0"/>
        <v>0</v>
      </c>
    </row>
    <row r="55" spans="1:8" s="85" customFormat="1" ht="28.5">
      <c r="A55" s="63" t="s">
        <v>44</v>
      </c>
      <c r="B55" s="15"/>
      <c r="C55" s="65" t="s">
        <v>42</v>
      </c>
      <c r="D55" s="64"/>
      <c r="E55" s="64"/>
      <c r="F55" s="150">
        <f>F56+F73</f>
        <v>11035.24</v>
      </c>
      <c r="G55" s="150">
        <f>G56+G73</f>
        <v>10823.37</v>
      </c>
      <c r="H55" s="343">
        <f t="shared" si="0"/>
        <v>98.08005988089067</v>
      </c>
    </row>
    <row r="56" spans="1:8" s="52" customFormat="1" ht="25.5">
      <c r="A56" s="13" t="s">
        <v>111</v>
      </c>
      <c r="B56" s="38"/>
      <c r="C56" s="58" t="s">
        <v>42</v>
      </c>
      <c r="D56" s="32" t="s">
        <v>0</v>
      </c>
      <c r="E56" s="32"/>
      <c r="F56" s="152">
        <f>F57</f>
        <v>10020.05</v>
      </c>
      <c r="G56" s="152">
        <f>G57</f>
        <v>9808.18</v>
      </c>
      <c r="H56" s="343">
        <f t="shared" si="0"/>
        <v>97.8855394933159</v>
      </c>
    </row>
    <row r="57" spans="1:8" s="52" customFormat="1" ht="25.5">
      <c r="A57" s="15" t="s">
        <v>78</v>
      </c>
      <c r="B57" s="24"/>
      <c r="C57" s="58" t="s">
        <v>42</v>
      </c>
      <c r="D57" s="11" t="s">
        <v>74</v>
      </c>
      <c r="E57" s="11"/>
      <c r="F57" s="149">
        <f>F58+F63+F65+F67+F69+F71</f>
        <v>10020.05</v>
      </c>
      <c r="G57" s="149">
        <f>G58+G63+G65+G67+G69+G71</f>
        <v>9808.18</v>
      </c>
      <c r="H57" s="343">
        <f t="shared" si="0"/>
        <v>97.8855394933159</v>
      </c>
    </row>
    <row r="58" spans="1:8" s="9" customFormat="1" ht="38.25">
      <c r="A58" s="38" t="s">
        <v>114</v>
      </c>
      <c r="B58" s="24"/>
      <c r="C58" s="29" t="s">
        <v>42</v>
      </c>
      <c r="D58" s="28" t="s">
        <v>75</v>
      </c>
      <c r="E58" s="28"/>
      <c r="F58" s="153">
        <f>F59+F61+F62+F60</f>
        <v>8630.849999999999</v>
      </c>
      <c r="G58" s="153">
        <f>G59+G61+G62+G60</f>
        <v>8625.19</v>
      </c>
      <c r="H58" s="343">
        <f t="shared" si="0"/>
        <v>99.93442129106637</v>
      </c>
    </row>
    <row r="59" spans="1:8" s="57" customFormat="1" ht="18" customHeight="1">
      <c r="A59" s="130" t="s">
        <v>306</v>
      </c>
      <c r="B59" s="24"/>
      <c r="C59" s="29" t="s">
        <v>42</v>
      </c>
      <c r="D59" s="28" t="s">
        <v>75</v>
      </c>
      <c r="E59" s="28">
        <v>110</v>
      </c>
      <c r="F59" s="153">
        <f>4171.46+1259.79+8.4+577.7+1100-8.4-10.6+11.4</f>
        <v>7109.749999999999</v>
      </c>
      <c r="G59" s="153">
        <f>5454.43+1655.26</f>
        <v>7109.6900000000005</v>
      </c>
      <c r="H59" s="343">
        <f t="shared" si="0"/>
        <v>99.99915608847007</v>
      </c>
    </row>
    <row r="60" spans="1:8" s="16" customFormat="1" ht="22.5" customHeight="1" hidden="1">
      <c r="A60" s="24" t="s">
        <v>115</v>
      </c>
      <c r="B60" s="24"/>
      <c r="C60" s="29" t="s">
        <v>42</v>
      </c>
      <c r="D60" s="28" t="s">
        <v>75</v>
      </c>
      <c r="E60" s="28">
        <v>112</v>
      </c>
      <c r="F60" s="153"/>
      <c r="G60" s="153"/>
      <c r="H60" s="343" t="e">
        <f t="shared" si="0"/>
        <v>#DIV/0!</v>
      </c>
    </row>
    <row r="61" spans="1:8" s="19" customFormat="1" ht="26.25" customHeight="1">
      <c r="A61" s="21" t="s">
        <v>303</v>
      </c>
      <c r="B61" s="24"/>
      <c r="C61" s="29" t="s">
        <v>42</v>
      </c>
      <c r="D61" s="28" t="s">
        <v>75</v>
      </c>
      <c r="E61" s="28">
        <v>240</v>
      </c>
      <c r="F61" s="153">
        <f>50.3+18.1+557.9+200+483.2-3+230-38.4</f>
        <v>1498.1</v>
      </c>
      <c r="G61" s="153">
        <f>47.97+5.81+808.12+17.55+131.24+481.99</f>
        <v>1492.6799999999998</v>
      </c>
      <c r="H61" s="343">
        <f t="shared" si="0"/>
        <v>99.63820839730325</v>
      </c>
    </row>
    <row r="62" spans="1:8" s="19" customFormat="1" ht="15" customHeight="1">
      <c r="A62" s="130" t="s">
        <v>307</v>
      </c>
      <c r="B62" s="24"/>
      <c r="C62" s="29" t="s">
        <v>42</v>
      </c>
      <c r="D62" s="28" t="s">
        <v>75</v>
      </c>
      <c r="E62" s="28">
        <v>850</v>
      </c>
      <c r="F62" s="153">
        <f>20+3</f>
        <v>23</v>
      </c>
      <c r="G62" s="153">
        <v>22.82</v>
      </c>
      <c r="H62" s="343">
        <f t="shared" si="0"/>
        <v>99.21739130434783</v>
      </c>
    </row>
    <row r="63" spans="1:8" ht="51">
      <c r="A63" s="24" t="s">
        <v>116</v>
      </c>
      <c r="B63" s="24"/>
      <c r="C63" s="18" t="s">
        <v>42</v>
      </c>
      <c r="D63" s="28" t="s">
        <v>157</v>
      </c>
      <c r="E63" s="28"/>
      <c r="F63" s="153">
        <f>F64</f>
        <v>414</v>
      </c>
      <c r="G63" s="153">
        <f>G64</f>
        <v>385.61</v>
      </c>
      <c r="H63" s="343">
        <f t="shared" si="0"/>
        <v>93.1425120772947</v>
      </c>
    </row>
    <row r="64" spans="1:8" ht="29.25" customHeight="1">
      <c r="A64" s="21" t="s">
        <v>303</v>
      </c>
      <c r="B64" s="24"/>
      <c r="C64" s="18" t="s">
        <v>42</v>
      </c>
      <c r="D64" s="28" t="s">
        <v>157</v>
      </c>
      <c r="E64" s="28">
        <v>240</v>
      </c>
      <c r="F64" s="153">
        <f>160+203+300-100-149</f>
        <v>414</v>
      </c>
      <c r="G64" s="153">
        <v>385.61</v>
      </c>
      <c r="H64" s="343">
        <f t="shared" si="0"/>
        <v>93.1425120772947</v>
      </c>
    </row>
    <row r="65" spans="1:8" s="9" customFormat="1" ht="25.5">
      <c r="A65" s="24" t="s">
        <v>117</v>
      </c>
      <c r="B65" s="24"/>
      <c r="C65" s="18" t="s">
        <v>42</v>
      </c>
      <c r="D65" s="28" t="s">
        <v>158</v>
      </c>
      <c r="E65" s="28"/>
      <c r="F65" s="153">
        <f>F66</f>
        <v>960</v>
      </c>
      <c r="G65" s="153">
        <f>G66</f>
        <v>782.22</v>
      </c>
      <c r="H65" s="343">
        <f t="shared" si="0"/>
        <v>81.48125</v>
      </c>
    </row>
    <row r="66" spans="1:8" s="9" customFormat="1" ht="26.25" customHeight="1">
      <c r="A66" s="21" t="s">
        <v>303</v>
      </c>
      <c r="B66" s="31"/>
      <c r="C66" s="18" t="s">
        <v>42</v>
      </c>
      <c r="D66" s="28" t="s">
        <v>158</v>
      </c>
      <c r="E66" s="28">
        <v>240</v>
      </c>
      <c r="F66" s="153">
        <f>500+400-200+260</f>
        <v>960</v>
      </c>
      <c r="G66" s="153">
        <f>631.12+151.1</f>
        <v>782.22</v>
      </c>
      <c r="H66" s="343">
        <f t="shared" si="0"/>
        <v>81.48125</v>
      </c>
    </row>
    <row r="67" spans="1:8" ht="38.25">
      <c r="A67" s="24" t="s">
        <v>112</v>
      </c>
      <c r="B67" s="31"/>
      <c r="C67" s="59" t="s">
        <v>42</v>
      </c>
      <c r="D67" s="28" t="s">
        <v>159</v>
      </c>
      <c r="E67" s="28"/>
      <c r="F67" s="153">
        <f>F68</f>
        <v>15.2</v>
      </c>
      <c r="G67" s="153">
        <f>G68</f>
        <v>15.16</v>
      </c>
      <c r="H67" s="343">
        <f t="shared" si="0"/>
        <v>99.73684210526316</v>
      </c>
    </row>
    <row r="68" spans="1:8" ht="15.75" customHeight="1">
      <c r="A68" s="130" t="s">
        <v>307</v>
      </c>
      <c r="B68" s="31"/>
      <c r="C68" s="59" t="s">
        <v>42</v>
      </c>
      <c r="D68" s="28" t="s">
        <v>159</v>
      </c>
      <c r="E68" s="28">
        <v>850</v>
      </c>
      <c r="F68" s="153">
        <v>15.2</v>
      </c>
      <c r="G68" s="153">
        <v>15.16</v>
      </c>
      <c r="H68" s="343">
        <f t="shared" si="0"/>
        <v>99.73684210526316</v>
      </c>
    </row>
    <row r="69" spans="1:8" ht="25.5" hidden="1">
      <c r="A69" s="31" t="s">
        <v>254</v>
      </c>
      <c r="B69" s="31"/>
      <c r="C69" s="18" t="s">
        <v>42</v>
      </c>
      <c r="D69" s="28" t="s">
        <v>240</v>
      </c>
      <c r="E69" s="28"/>
      <c r="F69" s="153">
        <f>F70</f>
        <v>0</v>
      </c>
      <c r="G69" s="153">
        <f>G70</f>
        <v>0</v>
      </c>
      <c r="H69" s="343" t="e">
        <f t="shared" si="0"/>
        <v>#DIV/0!</v>
      </c>
    </row>
    <row r="70" spans="1:8" s="9" customFormat="1" ht="25.5" hidden="1">
      <c r="A70" s="24" t="s">
        <v>38</v>
      </c>
      <c r="B70" s="31"/>
      <c r="C70" s="18" t="s">
        <v>42</v>
      </c>
      <c r="D70" s="28" t="s">
        <v>240</v>
      </c>
      <c r="E70" s="28">
        <v>244</v>
      </c>
      <c r="F70" s="153"/>
      <c r="G70" s="153"/>
      <c r="H70" s="343" t="e">
        <f t="shared" si="0"/>
        <v>#DIV/0!</v>
      </c>
    </row>
    <row r="71" spans="1:8" s="9" customFormat="1" ht="25.5" hidden="1">
      <c r="A71" s="24" t="s">
        <v>256</v>
      </c>
      <c r="B71" s="63"/>
      <c r="C71" s="18" t="s">
        <v>42</v>
      </c>
      <c r="D71" s="28" t="s">
        <v>255</v>
      </c>
      <c r="E71" s="28"/>
      <c r="F71" s="153">
        <f>F72</f>
        <v>0</v>
      </c>
      <c r="G71" s="153">
        <f>G72</f>
        <v>0</v>
      </c>
      <c r="H71" s="343" t="e">
        <f t="shared" si="0"/>
        <v>#DIV/0!</v>
      </c>
    </row>
    <row r="72" spans="1:8" s="9" customFormat="1" ht="25.5" hidden="1">
      <c r="A72" s="24" t="s">
        <v>38</v>
      </c>
      <c r="B72" s="63"/>
      <c r="C72" s="18" t="s">
        <v>42</v>
      </c>
      <c r="D72" s="28" t="s">
        <v>255</v>
      </c>
      <c r="E72" s="28">
        <v>244</v>
      </c>
      <c r="F72" s="153"/>
      <c r="G72" s="153"/>
      <c r="H72" s="343" t="e">
        <f t="shared" si="0"/>
        <v>#DIV/0!</v>
      </c>
    </row>
    <row r="73" spans="1:8" s="19" customFormat="1" ht="38.25">
      <c r="A73" s="13" t="s">
        <v>127</v>
      </c>
      <c r="B73" s="13"/>
      <c r="C73" s="10" t="s">
        <v>42</v>
      </c>
      <c r="D73" s="11" t="s">
        <v>2</v>
      </c>
      <c r="E73" s="11"/>
      <c r="F73" s="149">
        <f>F74</f>
        <v>1015.19</v>
      </c>
      <c r="G73" s="149">
        <f>G74</f>
        <v>1015.19</v>
      </c>
      <c r="H73" s="343">
        <f t="shared" si="0"/>
        <v>100</v>
      </c>
    </row>
    <row r="74" spans="1:8" s="16" customFormat="1" ht="54" customHeight="1">
      <c r="A74" s="15" t="s">
        <v>128</v>
      </c>
      <c r="B74" s="15"/>
      <c r="C74" s="10" t="s">
        <v>42</v>
      </c>
      <c r="D74" s="11" t="s">
        <v>9</v>
      </c>
      <c r="E74" s="11"/>
      <c r="F74" s="149">
        <f>F75+F78</f>
        <v>1015.19</v>
      </c>
      <c r="G74" s="149">
        <f>G75+G78</f>
        <v>1015.19</v>
      </c>
      <c r="H74" s="343">
        <f t="shared" si="0"/>
        <v>100</v>
      </c>
    </row>
    <row r="75" spans="1:8" s="19" customFormat="1" ht="78.75" customHeight="1">
      <c r="A75" s="21" t="s">
        <v>132</v>
      </c>
      <c r="B75" s="38"/>
      <c r="C75" s="18" t="s">
        <v>42</v>
      </c>
      <c r="D75" s="1" t="s">
        <v>131</v>
      </c>
      <c r="E75" s="1"/>
      <c r="F75" s="154">
        <f>F76+F77</f>
        <v>502.1</v>
      </c>
      <c r="G75" s="154">
        <f>G76+G77</f>
        <v>502.1</v>
      </c>
      <c r="H75" s="343">
        <f t="shared" si="0"/>
        <v>100</v>
      </c>
    </row>
    <row r="76" spans="1:8" s="19" customFormat="1" ht="25.5">
      <c r="A76" s="31" t="s">
        <v>304</v>
      </c>
      <c r="B76" s="24"/>
      <c r="C76" s="18" t="s">
        <v>42</v>
      </c>
      <c r="D76" s="1" t="s">
        <v>131</v>
      </c>
      <c r="E76" s="1" t="s">
        <v>305</v>
      </c>
      <c r="F76" s="154">
        <f>361.36423+108.93541</f>
        <v>470.29964</v>
      </c>
      <c r="G76" s="154">
        <f>361.36423+108.93541</f>
        <v>470.29964</v>
      </c>
      <c r="H76" s="343">
        <f aca="true" t="shared" si="5" ref="H76:H109">G76/F76*100</f>
        <v>100</v>
      </c>
    </row>
    <row r="77" spans="1:8" s="19" customFormat="1" ht="28.5" customHeight="1">
      <c r="A77" s="21" t="s">
        <v>303</v>
      </c>
      <c r="B77" s="24"/>
      <c r="C77" s="18" t="s">
        <v>42</v>
      </c>
      <c r="D77" s="1" t="s">
        <v>131</v>
      </c>
      <c r="E77" s="28">
        <v>240</v>
      </c>
      <c r="F77" s="154">
        <f>4.48659+0.72+1.68703+11.648+13.25874</f>
        <v>31.800359999999998</v>
      </c>
      <c r="G77" s="154">
        <f>4.48659+0.72+1.68703+11.648+13.25874</f>
        <v>31.800359999999998</v>
      </c>
      <c r="H77" s="343">
        <f t="shared" si="5"/>
        <v>100</v>
      </c>
    </row>
    <row r="78" spans="1:8" s="19" customFormat="1" ht="79.5" customHeight="1">
      <c r="A78" s="21" t="s">
        <v>129</v>
      </c>
      <c r="B78" s="24"/>
      <c r="C78" s="18" t="s">
        <v>42</v>
      </c>
      <c r="D78" s="1" t="s">
        <v>130</v>
      </c>
      <c r="E78" s="1"/>
      <c r="F78" s="154">
        <f>F79+F80</f>
        <v>513.09</v>
      </c>
      <c r="G78" s="154">
        <f>G79+G80</f>
        <v>513.09</v>
      </c>
      <c r="H78" s="343">
        <f t="shared" si="5"/>
        <v>100</v>
      </c>
    </row>
    <row r="79" spans="1:8" s="19" customFormat="1" ht="18.75" customHeight="1">
      <c r="A79" s="31" t="s">
        <v>304</v>
      </c>
      <c r="B79" s="63"/>
      <c r="C79" s="18" t="s">
        <v>42</v>
      </c>
      <c r="D79" s="1" t="s">
        <v>130</v>
      </c>
      <c r="E79" s="1" t="s">
        <v>305</v>
      </c>
      <c r="F79" s="154">
        <f>385.7982+116.33097+0.7</f>
        <v>502.82917</v>
      </c>
      <c r="G79" s="154">
        <f>385.7982+116.33097+0.7</f>
        <v>502.82917</v>
      </c>
      <c r="H79" s="343">
        <f t="shared" si="5"/>
        <v>100</v>
      </c>
    </row>
    <row r="80" spans="1:8" s="19" customFormat="1" ht="28.5" customHeight="1">
      <c r="A80" s="21" t="s">
        <v>303</v>
      </c>
      <c r="B80" s="63"/>
      <c r="C80" s="18" t="s">
        <v>42</v>
      </c>
      <c r="D80" s="1" t="s">
        <v>130</v>
      </c>
      <c r="E80" s="28">
        <v>240</v>
      </c>
      <c r="F80" s="154">
        <f>7.95883+0.952+1.35</f>
        <v>10.26083</v>
      </c>
      <c r="G80" s="154">
        <f>7.95883+0.952+1.35</f>
        <v>10.26083</v>
      </c>
      <c r="H80" s="343">
        <f t="shared" si="5"/>
        <v>100</v>
      </c>
    </row>
    <row r="81" spans="1:8" s="67" customFormat="1" ht="28.5">
      <c r="A81" s="63" t="s">
        <v>180</v>
      </c>
      <c r="B81" s="13"/>
      <c r="C81" s="66" t="s">
        <v>123</v>
      </c>
      <c r="D81" s="64"/>
      <c r="E81" s="64"/>
      <c r="F81" s="150">
        <f aca="true" t="shared" si="6" ref="F81:G84">F82</f>
        <v>503.84</v>
      </c>
      <c r="G81" s="150">
        <f t="shared" si="6"/>
        <v>503.84</v>
      </c>
      <c r="H81" s="343">
        <f t="shared" si="5"/>
        <v>100</v>
      </c>
    </row>
    <row r="82" spans="1:8" s="76" customFormat="1" ht="28.5">
      <c r="A82" s="63" t="s">
        <v>124</v>
      </c>
      <c r="B82" s="15"/>
      <c r="C82" s="66" t="s">
        <v>125</v>
      </c>
      <c r="D82" s="64"/>
      <c r="E82" s="64"/>
      <c r="F82" s="150">
        <f t="shared" si="6"/>
        <v>503.84</v>
      </c>
      <c r="G82" s="150">
        <f t="shared" si="6"/>
        <v>503.84</v>
      </c>
      <c r="H82" s="343">
        <f t="shared" si="5"/>
        <v>100</v>
      </c>
    </row>
    <row r="83" spans="1:8" s="52" customFormat="1" ht="25.5">
      <c r="A83" s="13" t="s">
        <v>111</v>
      </c>
      <c r="B83" s="21"/>
      <c r="C83" s="58" t="s">
        <v>125</v>
      </c>
      <c r="D83" s="32" t="s">
        <v>0</v>
      </c>
      <c r="E83" s="32"/>
      <c r="F83" s="152">
        <f t="shared" si="6"/>
        <v>503.84</v>
      </c>
      <c r="G83" s="152">
        <f t="shared" si="6"/>
        <v>503.84</v>
      </c>
      <c r="H83" s="343">
        <f t="shared" si="5"/>
        <v>100</v>
      </c>
    </row>
    <row r="84" spans="1:8" s="52" customFormat="1" ht="25.5">
      <c r="A84" s="15" t="s">
        <v>78</v>
      </c>
      <c r="B84" s="31"/>
      <c r="C84" s="58" t="s">
        <v>125</v>
      </c>
      <c r="D84" s="11" t="s">
        <v>74</v>
      </c>
      <c r="E84" s="11"/>
      <c r="F84" s="149">
        <f t="shared" si="6"/>
        <v>503.84</v>
      </c>
      <c r="G84" s="149">
        <f t="shared" si="6"/>
        <v>503.84</v>
      </c>
      <c r="H84" s="343">
        <f t="shared" si="5"/>
        <v>100</v>
      </c>
    </row>
    <row r="85" spans="1:8" s="9" customFormat="1" ht="30" customHeight="1">
      <c r="A85" s="38" t="s">
        <v>235</v>
      </c>
      <c r="B85" s="71"/>
      <c r="C85" s="29" t="s">
        <v>125</v>
      </c>
      <c r="D85" s="28" t="s">
        <v>181</v>
      </c>
      <c r="E85" s="28"/>
      <c r="F85" s="153">
        <f>F86+F87+F88</f>
        <v>503.84</v>
      </c>
      <c r="G85" s="153">
        <f>G86+G87+G88</f>
        <v>503.84</v>
      </c>
      <c r="H85" s="343">
        <f t="shared" si="5"/>
        <v>100</v>
      </c>
    </row>
    <row r="86" spans="1:8" s="57" customFormat="1" ht="25.5">
      <c r="A86" s="31" t="s">
        <v>304</v>
      </c>
      <c r="B86" s="13"/>
      <c r="C86" s="29" t="s">
        <v>125</v>
      </c>
      <c r="D86" s="28" t="s">
        <v>181</v>
      </c>
      <c r="E86" s="28">
        <v>120</v>
      </c>
      <c r="F86" s="153">
        <f>341.13644+105.10325</f>
        <v>446.23969</v>
      </c>
      <c r="G86" s="153">
        <f>341.13644+105.10325</f>
        <v>446.23969</v>
      </c>
      <c r="H86" s="343">
        <f t="shared" si="5"/>
        <v>100</v>
      </c>
    </row>
    <row r="87" spans="1:8" s="16" customFormat="1" ht="25.5" hidden="1">
      <c r="A87" s="24" t="s">
        <v>115</v>
      </c>
      <c r="B87" s="13"/>
      <c r="C87" s="29" t="s">
        <v>125</v>
      </c>
      <c r="D87" s="28" t="s">
        <v>181</v>
      </c>
      <c r="E87" s="28">
        <v>122</v>
      </c>
      <c r="F87" s="153"/>
      <c r="G87" s="153"/>
      <c r="H87" s="343" t="e">
        <f t="shared" si="5"/>
        <v>#DIV/0!</v>
      </c>
    </row>
    <row r="88" spans="1:8" s="19" customFormat="1" ht="30" customHeight="1">
      <c r="A88" s="21" t="s">
        <v>303</v>
      </c>
      <c r="B88" s="44"/>
      <c r="C88" s="29" t="s">
        <v>125</v>
      </c>
      <c r="D88" s="28" t="s">
        <v>181</v>
      </c>
      <c r="E88" s="28">
        <v>240</v>
      </c>
      <c r="F88" s="153">
        <f>4.14821+1.872+1.7356+33.88502+15.95948</f>
        <v>57.60030999999999</v>
      </c>
      <c r="G88" s="153">
        <f>4.14821+1.872+1.7356+33.88502+15.95948</f>
        <v>57.60030999999999</v>
      </c>
      <c r="H88" s="343">
        <f t="shared" si="5"/>
        <v>100</v>
      </c>
    </row>
    <row r="89" spans="1:8" s="67" customFormat="1" ht="28.5">
      <c r="A89" s="63" t="s">
        <v>88</v>
      </c>
      <c r="B89" s="24"/>
      <c r="C89" s="66" t="s">
        <v>87</v>
      </c>
      <c r="D89" s="64"/>
      <c r="E89" s="64"/>
      <c r="F89" s="150">
        <f>F90+F95+F100</f>
        <v>495.09000000000003</v>
      </c>
      <c r="G89" s="150">
        <f>G90+G95+G100</f>
        <v>495.09000000000003</v>
      </c>
      <c r="H89" s="343">
        <f t="shared" si="5"/>
        <v>100</v>
      </c>
    </row>
    <row r="90" spans="1:8" s="76" customFormat="1" ht="42.75">
      <c r="A90" s="63" t="s">
        <v>89</v>
      </c>
      <c r="B90" s="69"/>
      <c r="C90" s="66" t="s">
        <v>68</v>
      </c>
      <c r="D90" s="64"/>
      <c r="E90" s="64"/>
      <c r="F90" s="150">
        <f aca="true" t="shared" si="7" ref="F90:G93">F91</f>
        <v>495.09000000000003</v>
      </c>
      <c r="G90" s="150">
        <f t="shared" si="7"/>
        <v>495.09000000000003</v>
      </c>
      <c r="H90" s="343">
        <f t="shared" si="5"/>
        <v>100</v>
      </c>
    </row>
    <row r="91" spans="1:8" s="19" customFormat="1" ht="25.5">
      <c r="A91" s="13" t="s">
        <v>160</v>
      </c>
      <c r="B91" s="13"/>
      <c r="C91" s="58" t="s">
        <v>68</v>
      </c>
      <c r="D91" s="11" t="s">
        <v>2</v>
      </c>
      <c r="E91" s="11"/>
      <c r="F91" s="149">
        <f t="shared" si="7"/>
        <v>495.09000000000003</v>
      </c>
      <c r="G91" s="149">
        <f t="shared" si="7"/>
        <v>495.09000000000003</v>
      </c>
      <c r="H91" s="343">
        <f t="shared" si="5"/>
        <v>100</v>
      </c>
    </row>
    <row r="92" spans="1:8" s="16" customFormat="1" ht="49.5" customHeight="1">
      <c r="A92" s="15" t="s">
        <v>161</v>
      </c>
      <c r="B92" s="39"/>
      <c r="C92" s="58" t="s">
        <v>68</v>
      </c>
      <c r="D92" s="11" t="s">
        <v>7</v>
      </c>
      <c r="E92" s="11"/>
      <c r="F92" s="149">
        <f t="shared" si="7"/>
        <v>495.09000000000003</v>
      </c>
      <c r="G92" s="149">
        <f t="shared" si="7"/>
        <v>495.09000000000003</v>
      </c>
      <c r="H92" s="343">
        <f t="shared" si="5"/>
        <v>100</v>
      </c>
    </row>
    <row r="93" spans="1:8" s="19" customFormat="1" ht="66" customHeight="1">
      <c r="A93" s="21" t="s">
        <v>163</v>
      </c>
      <c r="B93" s="44"/>
      <c r="C93" s="59" t="s">
        <v>68</v>
      </c>
      <c r="D93" s="1" t="s">
        <v>162</v>
      </c>
      <c r="E93" s="1"/>
      <c r="F93" s="154">
        <f t="shared" si="7"/>
        <v>495.09000000000003</v>
      </c>
      <c r="G93" s="154">
        <f t="shared" si="7"/>
        <v>495.09000000000003</v>
      </c>
      <c r="H93" s="343">
        <f t="shared" si="5"/>
        <v>100</v>
      </c>
    </row>
    <row r="94" spans="1:8" s="19" customFormat="1" ht="26.25" customHeight="1">
      <c r="A94" s="21" t="s">
        <v>303</v>
      </c>
      <c r="B94" s="24"/>
      <c r="C94" s="59" t="s">
        <v>68</v>
      </c>
      <c r="D94" s="1" t="s">
        <v>162</v>
      </c>
      <c r="E94" s="28">
        <v>240</v>
      </c>
      <c r="F94" s="154">
        <f>50.62+40+20+300-100+142.87+41.6</f>
        <v>495.09000000000003</v>
      </c>
      <c r="G94" s="154">
        <f>50.62+40+20+300-100+142.87+41.6</f>
        <v>495.09000000000003</v>
      </c>
      <c r="H94" s="343">
        <f t="shared" si="5"/>
        <v>100</v>
      </c>
    </row>
    <row r="95" spans="1:8" s="74" customFormat="1" ht="15" hidden="1">
      <c r="A95" s="71" t="s">
        <v>104</v>
      </c>
      <c r="B95" s="63"/>
      <c r="C95" s="70" t="s">
        <v>105</v>
      </c>
      <c r="D95" s="72"/>
      <c r="E95" s="73"/>
      <c r="F95" s="156">
        <f>F96</f>
        <v>0</v>
      </c>
      <c r="G95" s="156">
        <f>G96</f>
        <v>0</v>
      </c>
      <c r="H95" s="343" t="e">
        <f t="shared" si="5"/>
        <v>#DIV/0!</v>
      </c>
    </row>
    <row r="96" spans="1:8" s="19" customFormat="1" ht="25.5" hidden="1">
      <c r="A96" s="13" t="s">
        <v>160</v>
      </c>
      <c r="B96" s="71"/>
      <c r="C96" s="58" t="s">
        <v>105</v>
      </c>
      <c r="D96" s="11" t="s">
        <v>2</v>
      </c>
      <c r="E96" s="11"/>
      <c r="F96" s="149">
        <f>F98</f>
        <v>0</v>
      </c>
      <c r="G96" s="149">
        <f>G98</f>
        <v>0</v>
      </c>
      <c r="H96" s="343" t="e">
        <f t="shared" si="5"/>
        <v>#DIV/0!</v>
      </c>
    </row>
    <row r="97" spans="1:8" s="19" customFormat="1" ht="38.25" hidden="1">
      <c r="A97" s="13" t="s">
        <v>222</v>
      </c>
      <c r="B97" s="39"/>
      <c r="C97" s="94" t="s">
        <v>105</v>
      </c>
      <c r="D97" s="95" t="s">
        <v>8</v>
      </c>
      <c r="E97" s="11"/>
      <c r="F97" s="149">
        <f>F98</f>
        <v>0</v>
      </c>
      <c r="G97" s="149">
        <f>G98</f>
        <v>0</v>
      </c>
      <c r="H97" s="343" t="e">
        <f t="shared" si="5"/>
        <v>#DIV/0!</v>
      </c>
    </row>
    <row r="98" spans="1:8" ht="51" hidden="1">
      <c r="A98" s="44" t="s">
        <v>164</v>
      </c>
      <c r="B98" s="39"/>
      <c r="C98" s="37" t="s">
        <v>105</v>
      </c>
      <c r="D98" s="35" t="s">
        <v>165</v>
      </c>
      <c r="E98" s="47"/>
      <c r="F98" s="157">
        <f>F99</f>
        <v>0</v>
      </c>
      <c r="G98" s="157">
        <f>G99</f>
        <v>0</v>
      </c>
      <c r="H98" s="343" t="e">
        <f t="shared" si="5"/>
        <v>#DIV/0!</v>
      </c>
    </row>
    <row r="99" spans="1:8" ht="25.5" customHeight="1" hidden="1">
      <c r="A99" s="21" t="s">
        <v>303</v>
      </c>
      <c r="B99" s="44"/>
      <c r="C99" s="37" t="s">
        <v>105</v>
      </c>
      <c r="D99" s="35" t="s">
        <v>165</v>
      </c>
      <c r="E99" s="28">
        <v>240</v>
      </c>
      <c r="F99" s="157">
        <f>183+84+86+82-292.13-142.87</f>
        <v>0</v>
      </c>
      <c r="G99" s="157">
        <f>183+84+86+82-292.13-142.87</f>
        <v>0</v>
      </c>
      <c r="H99" s="343" t="e">
        <f t="shared" si="5"/>
        <v>#DIV/0!</v>
      </c>
    </row>
    <row r="100" spans="1:8" s="67" customFormat="1" ht="28.5" hidden="1">
      <c r="A100" s="69" t="s">
        <v>102</v>
      </c>
      <c r="B100" s="24"/>
      <c r="C100" s="70" t="s">
        <v>103</v>
      </c>
      <c r="D100" s="64"/>
      <c r="E100" s="64"/>
      <c r="F100" s="150">
        <f aca="true" t="shared" si="8" ref="F100:G103">F101</f>
        <v>0</v>
      </c>
      <c r="G100" s="150">
        <f t="shared" si="8"/>
        <v>0</v>
      </c>
      <c r="H100" s="343" t="e">
        <f t="shared" si="5"/>
        <v>#DIV/0!</v>
      </c>
    </row>
    <row r="101" spans="1:8" s="19" customFormat="1" ht="25.5" hidden="1">
      <c r="A101" s="13" t="s">
        <v>160</v>
      </c>
      <c r="B101" s="24"/>
      <c r="C101" s="58" t="s">
        <v>103</v>
      </c>
      <c r="D101" s="11" t="s">
        <v>2</v>
      </c>
      <c r="E101" s="11"/>
      <c r="F101" s="149">
        <f t="shared" si="8"/>
        <v>0</v>
      </c>
      <c r="G101" s="149">
        <f t="shared" si="8"/>
        <v>0</v>
      </c>
      <c r="H101" s="343" t="e">
        <f t="shared" si="5"/>
        <v>#DIV/0!</v>
      </c>
    </row>
    <row r="102" spans="1:8" s="16" customFormat="1" ht="38.25" hidden="1">
      <c r="A102" s="39" t="s">
        <v>166</v>
      </c>
      <c r="B102" s="24"/>
      <c r="C102" s="40" t="s">
        <v>103</v>
      </c>
      <c r="D102" s="49" t="s">
        <v>6</v>
      </c>
      <c r="E102" s="48"/>
      <c r="F102" s="158">
        <f t="shared" si="8"/>
        <v>0</v>
      </c>
      <c r="G102" s="158">
        <f t="shared" si="8"/>
        <v>0</v>
      </c>
      <c r="H102" s="343" t="e">
        <f t="shared" si="5"/>
        <v>#DIV/0!</v>
      </c>
    </row>
    <row r="103" spans="1:8" s="55" customFormat="1" ht="63.75" hidden="1">
      <c r="A103" s="44" t="s">
        <v>292</v>
      </c>
      <c r="B103" s="39"/>
      <c r="C103" s="37" t="s">
        <v>103</v>
      </c>
      <c r="D103" s="41" t="s">
        <v>167</v>
      </c>
      <c r="E103" s="48"/>
      <c r="F103" s="157">
        <f t="shared" si="8"/>
        <v>0</v>
      </c>
      <c r="G103" s="157">
        <f t="shared" si="8"/>
        <v>0</v>
      </c>
      <c r="H103" s="343" t="e">
        <f t="shared" si="5"/>
        <v>#DIV/0!</v>
      </c>
    </row>
    <row r="104" spans="1:8" s="55" customFormat="1" ht="25.5" hidden="1">
      <c r="A104" s="24" t="s">
        <v>38</v>
      </c>
      <c r="B104" s="39"/>
      <c r="C104" s="37" t="s">
        <v>103</v>
      </c>
      <c r="D104" s="41" t="s">
        <v>167</v>
      </c>
      <c r="E104" s="36">
        <v>244</v>
      </c>
      <c r="F104" s="157">
        <v>0</v>
      </c>
      <c r="G104" s="157">
        <v>0</v>
      </c>
      <c r="H104" s="343" t="e">
        <f t="shared" si="5"/>
        <v>#DIV/0!</v>
      </c>
    </row>
    <row r="105" spans="1:8" s="67" customFormat="1" ht="28.5">
      <c r="A105" s="63" t="s">
        <v>91</v>
      </c>
      <c r="B105" s="44"/>
      <c r="C105" s="66" t="s">
        <v>90</v>
      </c>
      <c r="D105" s="64"/>
      <c r="E105" s="64"/>
      <c r="F105" s="150">
        <f>F106+F134</f>
        <v>17110.245</v>
      </c>
      <c r="G105" s="150">
        <f>G106+G134</f>
        <v>13755.775</v>
      </c>
      <c r="H105" s="343">
        <f t="shared" si="5"/>
        <v>80.3949621995477</v>
      </c>
    </row>
    <row r="106" spans="1:8" s="76" customFormat="1" ht="15">
      <c r="A106" s="71" t="s">
        <v>98</v>
      </c>
      <c r="B106" s="24"/>
      <c r="C106" s="70" t="s">
        <v>99</v>
      </c>
      <c r="D106" s="72"/>
      <c r="E106" s="89"/>
      <c r="F106" s="156">
        <f>F107+F125</f>
        <v>16815.245</v>
      </c>
      <c r="G106" s="156">
        <f>G107+G125</f>
        <v>13532.945</v>
      </c>
      <c r="H106" s="343">
        <f t="shared" si="5"/>
        <v>80.4802130447698</v>
      </c>
    </row>
    <row r="107" spans="1:8" ht="25.5">
      <c r="A107" s="39" t="s">
        <v>168</v>
      </c>
      <c r="B107" s="44"/>
      <c r="C107" s="40" t="s">
        <v>99</v>
      </c>
      <c r="D107" s="43" t="s">
        <v>170</v>
      </c>
      <c r="E107" s="46"/>
      <c r="F107" s="158">
        <f>F108+F117</f>
        <v>6299.25</v>
      </c>
      <c r="G107" s="158">
        <f>G108+G117</f>
        <v>5912.73</v>
      </c>
      <c r="H107" s="343">
        <f t="shared" si="5"/>
        <v>93.86403143231337</v>
      </c>
    </row>
    <row r="108" spans="1:8" s="52" customFormat="1" ht="42" customHeight="1">
      <c r="A108" s="39" t="s">
        <v>169</v>
      </c>
      <c r="B108" s="24"/>
      <c r="C108" s="40" t="s">
        <v>99</v>
      </c>
      <c r="D108" s="43" t="s">
        <v>171</v>
      </c>
      <c r="E108" s="45"/>
      <c r="F108" s="158">
        <f>F109+F113+F115+F111</f>
        <v>5123.8</v>
      </c>
      <c r="G108" s="158">
        <f>G109+G113+G115+G111</f>
        <v>4737.33</v>
      </c>
      <c r="H108" s="343">
        <f t="shared" si="5"/>
        <v>92.45735586869121</v>
      </c>
    </row>
    <row r="109" spans="1:8" ht="63.75">
      <c r="A109" s="44" t="s">
        <v>172</v>
      </c>
      <c r="B109" s="63"/>
      <c r="C109" s="37" t="s">
        <v>99</v>
      </c>
      <c r="D109" s="35" t="s">
        <v>173</v>
      </c>
      <c r="E109" s="46"/>
      <c r="F109" s="157">
        <f>F110</f>
        <v>2101</v>
      </c>
      <c r="G109" s="157">
        <f>G110</f>
        <v>1714.8400000000001</v>
      </c>
      <c r="H109" s="343">
        <f t="shared" si="5"/>
        <v>81.62018086625416</v>
      </c>
    </row>
    <row r="110" spans="1:8" s="16" customFormat="1" ht="30" customHeight="1">
      <c r="A110" s="21" t="s">
        <v>303</v>
      </c>
      <c r="B110" s="13"/>
      <c r="C110" s="37" t="s">
        <v>99</v>
      </c>
      <c r="D110" s="35" t="s">
        <v>173</v>
      </c>
      <c r="E110" s="36">
        <v>240</v>
      </c>
      <c r="F110" s="157">
        <f>2000-253.2+354.2</f>
        <v>2101</v>
      </c>
      <c r="G110" s="157">
        <f>533.39+1181.45</f>
        <v>1714.8400000000001</v>
      </c>
      <c r="H110" s="343">
        <f>G110/F110*100</f>
        <v>81.62018086625416</v>
      </c>
    </row>
    <row r="111" spans="1:8" s="19" customFormat="1" ht="63.75">
      <c r="A111" s="34" t="s">
        <v>319</v>
      </c>
      <c r="B111" s="15"/>
      <c r="C111" s="59" t="s">
        <v>99</v>
      </c>
      <c r="D111" s="35" t="s">
        <v>301</v>
      </c>
      <c r="E111" s="36"/>
      <c r="F111" s="157">
        <f>F112</f>
        <v>1262.2</v>
      </c>
      <c r="G111" s="157">
        <f>G112</f>
        <v>1261.89</v>
      </c>
      <c r="H111" s="343">
        <f aca="true" t="shared" si="9" ref="H111:H174">G111/F111*100</f>
        <v>99.97543970844558</v>
      </c>
    </row>
    <row r="112" spans="1:8" s="19" customFormat="1" ht="30" customHeight="1">
      <c r="A112" s="21" t="s">
        <v>303</v>
      </c>
      <c r="B112" s="21"/>
      <c r="C112" s="59" t="s">
        <v>99</v>
      </c>
      <c r="D112" s="35" t="s">
        <v>301</v>
      </c>
      <c r="E112" s="28">
        <v>240</v>
      </c>
      <c r="F112" s="157">
        <v>1262.2</v>
      </c>
      <c r="G112" s="157">
        <v>1261.89</v>
      </c>
      <c r="H112" s="343">
        <f t="shared" si="9"/>
        <v>99.97543970844558</v>
      </c>
    </row>
    <row r="113" spans="1:8" ht="25.5">
      <c r="A113" s="44" t="s">
        <v>266</v>
      </c>
      <c r="B113" s="24"/>
      <c r="C113" s="37" t="s">
        <v>99</v>
      </c>
      <c r="D113" s="35" t="s">
        <v>265</v>
      </c>
      <c r="E113" s="46"/>
      <c r="F113" s="157">
        <f>F114</f>
        <v>1408.5</v>
      </c>
      <c r="G113" s="157">
        <f>G114</f>
        <v>1408.5</v>
      </c>
      <c r="H113" s="343">
        <f t="shared" si="9"/>
        <v>100</v>
      </c>
    </row>
    <row r="114" spans="1:8" s="16" customFormat="1" ht="25.5">
      <c r="A114" s="24" t="s">
        <v>38</v>
      </c>
      <c r="B114" s="98"/>
      <c r="C114" s="37" t="s">
        <v>99</v>
      </c>
      <c r="D114" s="35" t="s">
        <v>265</v>
      </c>
      <c r="E114" s="36">
        <v>244</v>
      </c>
      <c r="F114" s="157">
        <v>1408.5</v>
      </c>
      <c r="G114" s="157">
        <v>1408.5</v>
      </c>
      <c r="H114" s="343">
        <f t="shared" si="9"/>
        <v>100</v>
      </c>
    </row>
    <row r="115" spans="1:8" ht="14.25">
      <c r="A115" s="44" t="s">
        <v>523</v>
      </c>
      <c r="B115" s="98"/>
      <c r="C115" s="37" t="s">
        <v>99</v>
      </c>
      <c r="D115" s="35" t="s">
        <v>265</v>
      </c>
      <c r="E115" s="46"/>
      <c r="F115" s="157">
        <f>F116</f>
        <v>352.1</v>
      </c>
      <c r="G115" s="157">
        <f>G116</f>
        <v>352.1</v>
      </c>
      <c r="H115" s="343">
        <f t="shared" si="9"/>
        <v>100</v>
      </c>
    </row>
    <row r="116" spans="1:8" s="16" customFormat="1" ht="25.5">
      <c r="A116" s="24" t="s">
        <v>38</v>
      </c>
      <c r="B116" s="13"/>
      <c r="C116" s="37" t="s">
        <v>99</v>
      </c>
      <c r="D116" s="35" t="s">
        <v>522</v>
      </c>
      <c r="E116" s="36">
        <v>244</v>
      </c>
      <c r="F116" s="157">
        <v>352.1</v>
      </c>
      <c r="G116" s="157">
        <v>352.1</v>
      </c>
      <c r="H116" s="343">
        <f t="shared" si="9"/>
        <v>100</v>
      </c>
    </row>
    <row r="117" spans="1:8" ht="18" customHeight="1">
      <c r="A117" s="39" t="s">
        <v>168</v>
      </c>
      <c r="B117" s="15"/>
      <c r="C117" s="40" t="s">
        <v>99</v>
      </c>
      <c r="D117" s="43" t="s">
        <v>170</v>
      </c>
      <c r="E117" s="46"/>
      <c r="F117" s="158">
        <f>F118</f>
        <v>1175.4499999999998</v>
      </c>
      <c r="G117" s="158">
        <f>G118</f>
        <v>1175.4</v>
      </c>
      <c r="H117" s="343">
        <f t="shared" si="9"/>
        <v>99.99574630992389</v>
      </c>
    </row>
    <row r="118" spans="1:8" s="56" customFormat="1" ht="63.75">
      <c r="A118" s="39" t="s">
        <v>174</v>
      </c>
      <c r="B118" s="62"/>
      <c r="C118" s="40" t="s">
        <v>99</v>
      </c>
      <c r="D118" s="43" t="s">
        <v>219</v>
      </c>
      <c r="E118" s="48"/>
      <c r="F118" s="158">
        <f>F119+F123</f>
        <v>1175.4499999999998</v>
      </c>
      <c r="G118" s="158">
        <f>G119+G123</f>
        <v>1175.4</v>
      </c>
      <c r="H118" s="343">
        <f t="shared" si="9"/>
        <v>99.99574630992389</v>
      </c>
    </row>
    <row r="119" spans="1:8" ht="89.25">
      <c r="A119" s="44" t="s">
        <v>243</v>
      </c>
      <c r="B119" s="3"/>
      <c r="C119" s="37" t="s">
        <v>99</v>
      </c>
      <c r="D119" s="35" t="s">
        <v>175</v>
      </c>
      <c r="E119" s="46"/>
      <c r="F119" s="157">
        <f>F120</f>
        <v>625.4499999999999</v>
      </c>
      <c r="G119" s="157">
        <f>G120</f>
        <v>625.4</v>
      </c>
      <c r="H119" s="343">
        <f t="shared" si="9"/>
        <v>99.9920057558558</v>
      </c>
    </row>
    <row r="120" spans="1:8" ht="28.5" customHeight="1">
      <c r="A120" s="21" t="s">
        <v>303</v>
      </c>
      <c r="B120" s="3"/>
      <c r="C120" s="37" t="s">
        <v>99</v>
      </c>
      <c r="D120" s="35" t="s">
        <v>175</v>
      </c>
      <c r="E120" s="28">
        <v>240</v>
      </c>
      <c r="F120" s="157">
        <f>600+450+60+200+90-500-200-150+31.55+95.8-51.9</f>
        <v>625.4499999999999</v>
      </c>
      <c r="G120" s="157">
        <f>442.52+182.88</f>
        <v>625.4</v>
      </c>
      <c r="H120" s="343">
        <f t="shared" si="9"/>
        <v>99.9920057558558</v>
      </c>
    </row>
    <row r="121" spans="1:8" s="56" customFormat="1" ht="55.5" customHeight="1" hidden="1">
      <c r="A121" s="44" t="s">
        <v>176</v>
      </c>
      <c r="B121" s="24"/>
      <c r="C121" s="37" t="s">
        <v>99</v>
      </c>
      <c r="D121" s="35" t="s">
        <v>177</v>
      </c>
      <c r="E121" s="46"/>
      <c r="F121" s="157">
        <f>F122</f>
        <v>0</v>
      </c>
      <c r="G121" s="157">
        <f>G122</f>
        <v>0</v>
      </c>
      <c r="H121" s="343" t="e">
        <f t="shared" si="9"/>
        <v>#DIV/0!</v>
      </c>
    </row>
    <row r="122" spans="1:8" s="56" customFormat="1" ht="26.25" customHeight="1" hidden="1">
      <c r="A122" s="21" t="s">
        <v>303</v>
      </c>
      <c r="B122" s="24"/>
      <c r="C122" s="37" t="s">
        <v>99</v>
      </c>
      <c r="D122" s="35" t="s">
        <v>177</v>
      </c>
      <c r="E122" s="28">
        <v>240</v>
      </c>
      <c r="F122" s="157">
        <f>500+300-200-50-550</f>
        <v>0</v>
      </c>
      <c r="G122" s="157">
        <f>500+300-200-50-550</f>
        <v>0</v>
      </c>
      <c r="H122" s="343" t="e">
        <f t="shared" si="9"/>
        <v>#DIV/0!</v>
      </c>
    </row>
    <row r="123" spans="1:8" s="57" customFormat="1" ht="54.75" customHeight="1">
      <c r="A123" s="294" t="s">
        <v>348</v>
      </c>
      <c r="B123" s="24"/>
      <c r="C123" s="29" t="s">
        <v>99</v>
      </c>
      <c r="D123" s="28" t="s">
        <v>347</v>
      </c>
      <c r="E123" s="28"/>
      <c r="F123" s="153">
        <f>F124</f>
        <v>550</v>
      </c>
      <c r="G123" s="153">
        <f>G124</f>
        <v>550</v>
      </c>
      <c r="H123" s="343">
        <f t="shared" si="9"/>
        <v>100</v>
      </c>
    </row>
    <row r="124" spans="1:8" s="57" customFormat="1" ht="18.75" customHeight="1">
      <c r="A124" s="3" t="s">
        <v>312</v>
      </c>
      <c r="B124" s="13"/>
      <c r="C124" s="29" t="s">
        <v>99</v>
      </c>
      <c r="D124" s="28" t="s">
        <v>347</v>
      </c>
      <c r="E124" s="28">
        <v>610</v>
      </c>
      <c r="F124" s="153">
        <v>550</v>
      </c>
      <c r="G124" s="153">
        <v>550</v>
      </c>
      <c r="H124" s="343">
        <f t="shared" si="9"/>
        <v>100</v>
      </c>
    </row>
    <row r="125" spans="1:8" s="19" customFormat="1" ht="18.75" customHeight="1">
      <c r="A125" s="13" t="s">
        <v>111</v>
      </c>
      <c r="B125" s="83"/>
      <c r="C125" s="40" t="s">
        <v>99</v>
      </c>
      <c r="D125" s="43" t="s">
        <v>74</v>
      </c>
      <c r="E125" s="32"/>
      <c r="F125" s="158">
        <f>F126+F128+F130+F132</f>
        <v>10515.994999999999</v>
      </c>
      <c r="G125" s="158">
        <f>G126+G128+G130+G132</f>
        <v>7620.215</v>
      </c>
      <c r="H125" s="343">
        <f t="shared" si="9"/>
        <v>72.46309074890203</v>
      </c>
    </row>
    <row r="126" spans="1:8" s="56" customFormat="1" ht="30.75" customHeight="1" hidden="1">
      <c r="A126" s="44" t="s">
        <v>299</v>
      </c>
      <c r="B126" s="20"/>
      <c r="C126" s="37" t="s">
        <v>99</v>
      </c>
      <c r="D126" s="35" t="s">
        <v>298</v>
      </c>
      <c r="E126" s="46"/>
      <c r="F126" s="157">
        <f>F127</f>
        <v>0</v>
      </c>
      <c r="G126" s="157">
        <f>G127</f>
        <v>0</v>
      </c>
      <c r="H126" s="343" t="e">
        <f t="shared" si="9"/>
        <v>#DIV/0!</v>
      </c>
    </row>
    <row r="127" spans="1:8" s="56" customFormat="1" ht="28.5" customHeight="1" hidden="1">
      <c r="A127" s="21" t="s">
        <v>303</v>
      </c>
      <c r="B127" s="3"/>
      <c r="C127" s="37" t="s">
        <v>99</v>
      </c>
      <c r="D127" s="35" t="s">
        <v>298</v>
      </c>
      <c r="E127" s="28">
        <v>240</v>
      </c>
      <c r="F127" s="157">
        <f>700-200-50-450</f>
        <v>0</v>
      </c>
      <c r="G127" s="157">
        <f>700-200-50-450</f>
        <v>0</v>
      </c>
      <c r="H127" s="343" t="e">
        <f t="shared" si="9"/>
        <v>#DIV/0!</v>
      </c>
    </row>
    <row r="128" spans="1:8" s="19" customFormat="1" ht="25.5">
      <c r="A128" s="24" t="s">
        <v>253</v>
      </c>
      <c r="B128" s="10"/>
      <c r="C128" s="37" t="s">
        <v>99</v>
      </c>
      <c r="D128" s="35" t="s">
        <v>252</v>
      </c>
      <c r="E128" s="36"/>
      <c r="F128" s="157">
        <f>F129</f>
        <v>464.095</v>
      </c>
      <c r="G128" s="157">
        <f>G129</f>
        <v>464.095</v>
      </c>
      <c r="H128" s="343">
        <f t="shared" si="9"/>
        <v>100</v>
      </c>
    </row>
    <row r="129" spans="1:8" s="19" customFormat="1" ht="25.5">
      <c r="A129" s="24" t="s">
        <v>38</v>
      </c>
      <c r="B129" s="18"/>
      <c r="C129" s="37" t="s">
        <v>99</v>
      </c>
      <c r="D129" s="35" t="s">
        <v>252</v>
      </c>
      <c r="E129" s="36">
        <v>244</v>
      </c>
      <c r="F129" s="157">
        <v>464.095</v>
      </c>
      <c r="G129" s="157">
        <v>464.095</v>
      </c>
      <c r="H129" s="343">
        <f t="shared" si="9"/>
        <v>100</v>
      </c>
    </row>
    <row r="130" spans="1:8" s="19" customFormat="1" ht="12.75">
      <c r="A130" s="24" t="s">
        <v>535</v>
      </c>
      <c r="B130" s="18"/>
      <c r="C130" s="59" t="s">
        <v>99</v>
      </c>
      <c r="D130" s="35" t="s">
        <v>526</v>
      </c>
      <c r="E130" s="36"/>
      <c r="F130" s="157">
        <f>F131</f>
        <v>10000</v>
      </c>
      <c r="G130" s="157">
        <f>G131</f>
        <v>7104.22</v>
      </c>
      <c r="H130" s="343">
        <f t="shared" si="9"/>
        <v>71.0422</v>
      </c>
    </row>
    <row r="131" spans="1:8" s="19" customFormat="1" ht="25.5">
      <c r="A131" s="24" t="s">
        <v>38</v>
      </c>
      <c r="B131" s="18"/>
      <c r="C131" s="59" t="s">
        <v>99</v>
      </c>
      <c r="D131" s="35" t="s">
        <v>526</v>
      </c>
      <c r="E131" s="36">
        <v>244</v>
      </c>
      <c r="F131" s="157">
        <v>10000</v>
      </c>
      <c r="G131" s="157">
        <v>7104.22</v>
      </c>
      <c r="H131" s="343">
        <f t="shared" si="9"/>
        <v>71.0422</v>
      </c>
    </row>
    <row r="132" spans="1:8" ht="38.25">
      <c r="A132" s="44" t="s">
        <v>547</v>
      </c>
      <c r="B132" s="39"/>
      <c r="C132" s="37" t="s">
        <v>99</v>
      </c>
      <c r="D132" s="35" t="s">
        <v>546</v>
      </c>
      <c r="E132" s="46"/>
      <c r="F132" s="157">
        <f>F133</f>
        <v>51.9</v>
      </c>
      <c r="G132" s="157">
        <f>G133</f>
        <v>51.9</v>
      </c>
      <c r="H132" s="343">
        <f t="shared" si="9"/>
        <v>100</v>
      </c>
    </row>
    <row r="133" spans="1:8" ht="28.5" customHeight="1">
      <c r="A133" s="21" t="s">
        <v>303</v>
      </c>
      <c r="B133" s="39"/>
      <c r="C133" s="37" t="s">
        <v>99</v>
      </c>
      <c r="D133" s="35" t="s">
        <v>546</v>
      </c>
      <c r="E133" s="28">
        <v>240</v>
      </c>
      <c r="F133" s="157">
        <v>51.9</v>
      </c>
      <c r="G133" s="157">
        <v>51.9</v>
      </c>
      <c r="H133" s="343">
        <f t="shared" si="9"/>
        <v>100</v>
      </c>
    </row>
    <row r="134" spans="1:8" s="67" customFormat="1" ht="28.5">
      <c r="A134" s="63" t="s">
        <v>33</v>
      </c>
      <c r="B134" s="44"/>
      <c r="C134" s="66" t="s">
        <v>32</v>
      </c>
      <c r="D134" s="64"/>
      <c r="E134" s="64"/>
      <c r="F134" s="150">
        <f>F135+F139</f>
        <v>295</v>
      </c>
      <c r="G134" s="150">
        <f>G135+G139</f>
        <v>222.83</v>
      </c>
      <c r="H134" s="343">
        <f t="shared" si="9"/>
        <v>75.535593220339</v>
      </c>
    </row>
    <row r="135" spans="1:8" s="19" customFormat="1" ht="25.5">
      <c r="A135" s="13" t="s">
        <v>111</v>
      </c>
      <c r="B135" s="3"/>
      <c r="C135" s="58" t="s">
        <v>32</v>
      </c>
      <c r="D135" s="32" t="s">
        <v>0</v>
      </c>
      <c r="E135" s="32"/>
      <c r="F135" s="152">
        <f aca="true" t="shared" si="10" ref="F135:G137">F136</f>
        <v>295</v>
      </c>
      <c r="G135" s="152">
        <f t="shared" si="10"/>
        <v>222.83</v>
      </c>
      <c r="H135" s="343">
        <f t="shared" si="9"/>
        <v>75.535593220339</v>
      </c>
    </row>
    <row r="136" spans="1:8" s="16" customFormat="1" ht="25.5">
      <c r="A136" s="15" t="s">
        <v>78</v>
      </c>
      <c r="B136" s="44"/>
      <c r="C136" s="10" t="s">
        <v>32</v>
      </c>
      <c r="D136" s="54" t="s">
        <v>74</v>
      </c>
      <c r="E136" s="54"/>
      <c r="F136" s="149">
        <f t="shared" si="10"/>
        <v>295</v>
      </c>
      <c r="G136" s="149">
        <f t="shared" si="10"/>
        <v>222.83</v>
      </c>
      <c r="H136" s="343">
        <f t="shared" si="9"/>
        <v>75.535593220339</v>
      </c>
    </row>
    <row r="137" spans="1:8" s="19" customFormat="1" ht="25.5">
      <c r="A137" s="21" t="s">
        <v>178</v>
      </c>
      <c r="B137" s="44"/>
      <c r="C137" s="59" t="s">
        <v>32</v>
      </c>
      <c r="D137" s="1" t="s">
        <v>179</v>
      </c>
      <c r="E137" s="1"/>
      <c r="F137" s="154">
        <f t="shared" si="10"/>
        <v>295</v>
      </c>
      <c r="G137" s="154">
        <f t="shared" si="10"/>
        <v>222.83</v>
      </c>
      <c r="H137" s="343">
        <f t="shared" si="9"/>
        <v>75.535593220339</v>
      </c>
    </row>
    <row r="138" spans="1:8" s="19" customFormat="1" ht="27.75" customHeight="1">
      <c r="A138" s="21" t="s">
        <v>303</v>
      </c>
      <c r="B138" s="3"/>
      <c r="C138" s="59" t="s">
        <v>32</v>
      </c>
      <c r="D138" s="1" t="s">
        <v>179</v>
      </c>
      <c r="E138" s="28">
        <v>240</v>
      </c>
      <c r="F138" s="154">
        <f>600+195-500</f>
        <v>295</v>
      </c>
      <c r="G138" s="154">
        <v>222.83</v>
      </c>
      <c r="H138" s="343">
        <f t="shared" si="9"/>
        <v>75.535593220339</v>
      </c>
    </row>
    <row r="139" spans="1:8" s="16" customFormat="1" ht="38.25" hidden="1">
      <c r="A139" s="15" t="s">
        <v>329</v>
      </c>
      <c r="B139" s="3"/>
      <c r="C139" s="10" t="s">
        <v>32</v>
      </c>
      <c r="D139" s="54" t="s">
        <v>328</v>
      </c>
      <c r="E139" s="54"/>
      <c r="F139" s="149">
        <f>F140</f>
        <v>0</v>
      </c>
      <c r="G139" s="149">
        <f>G140</f>
        <v>0</v>
      </c>
      <c r="H139" s="343"/>
    </row>
    <row r="140" spans="1:8" s="19" customFormat="1" ht="12.75" hidden="1">
      <c r="A140" s="21" t="s">
        <v>331</v>
      </c>
      <c r="B140" s="3"/>
      <c r="C140" s="59" t="s">
        <v>32</v>
      </c>
      <c r="D140" s="1" t="s">
        <v>330</v>
      </c>
      <c r="E140" s="1"/>
      <c r="F140" s="154">
        <f>F141</f>
        <v>0</v>
      </c>
      <c r="G140" s="154">
        <f>G141</f>
        <v>0</v>
      </c>
      <c r="H140" s="343"/>
    </row>
    <row r="141" spans="1:8" s="19" customFormat="1" ht="27.75" customHeight="1" hidden="1">
      <c r="A141" s="21" t="s">
        <v>303</v>
      </c>
      <c r="B141" s="44"/>
      <c r="C141" s="59" t="s">
        <v>32</v>
      </c>
      <c r="D141" s="1" t="s">
        <v>330</v>
      </c>
      <c r="E141" s="28">
        <v>240</v>
      </c>
      <c r="F141" s="154">
        <v>0</v>
      </c>
      <c r="G141" s="154">
        <v>0</v>
      </c>
      <c r="H141" s="343"/>
    </row>
    <row r="142" spans="1:8" s="67" customFormat="1" ht="28.5">
      <c r="A142" s="98" t="s">
        <v>109</v>
      </c>
      <c r="B142" s="3"/>
      <c r="C142" s="66" t="s">
        <v>81</v>
      </c>
      <c r="D142" s="64"/>
      <c r="E142" s="64"/>
      <c r="F142" s="150">
        <f>F143+F172+F209</f>
        <v>67620.42677</v>
      </c>
      <c r="G142" s="150">
        <f>G143+G172+G209</f>
        <v>65722.3349</v>
      </c>
      <c r="H142" s="343">
        <f t="shared" si="9"/>
        <v>97.1930199783328</v>
      </c>
    </row>
    <row r="143" spans="1:8" s="76" customFormat="1" ht="28.5">
      <c r="A143" s="98" t="s">
        <v>25</v>
      </c>
      <c r="B143" s="3"/>
      <c r="C143" s="66" t="s">
        <v>24</v>
      </c>
      <c r="D143" s="64"/>
      <c r="E143" s="64"/>
      <c r="F143" s="150">
        <f>F144+F152+F156</f>
        <v>21921.247900000002</v>
      </c>
      <c r="G143" s="150">
        <f>G144+G152+G156</f>
        <v>21635.8339</v>
      </c>
      <c r="H143" s="343">
        <f t="shared" si="9"/>
        <v>98.69800295447597</v>
      </c>
    </row>
    <row r="144" spans="1:8" s="19" customFormat="1" ht="25.5">
      <c r="A144" s="13" t="s">
        <v>111</v>
      </c>
      <c r="B144" s="3"/>
      <c r="C144" s="58" t="s">
        <v>24</v>
      </c>
      <c r="D144" s="32" t="s">
        <v>0</v>
      </c>
      <c r="E144" s="32"/>
      <c r="F144" s="152">
        <f>F145</f>
        <v>1279.884</v>
      </c>
      <c r="G144" s="152">
        <f>G145</f>
        <v>995.3599999999999</v>
      </c>
      <c r="H144" s="343">
        <f t="shared" si="9"/>
        <v>77.76954786527529</v>
      </c>
    </row>
    <row r="145" spans="1:8" s="9" customFormat="1" ht="25.5">
      <c r="A145" s="15" t="s">
        <v>78</v>
      </c>
      <c r="B145" s="3"/>
      <c r="C145" s="58" t="s">
        <v>24</v>
      </c>
      <c r="D145" s="11" t="s">
        <v>74</v>
      </c>
      <c r="E145" s="11"/>
      <c r="F145" s="149">
        <f>F146+F148+F150</f>
        <v>1279.884</v>
      </c>
      <c r="G145" s="149">
        <f>G146+G148+G150</f>
        <v>995.3599999999999</v>
      </c>
      <c r="H145" s="343">
        <f t="shared" si="9"/>
        <v>77.76954786527529</v>
      </c>
    </row>
    <row r="146" spans="1:8" ht="38.25">
      <c r="A146" s="62" t="s">
        <v>295</v>
      </c>
      <c r="B146" s="98"/>
      <c r="C146" s="59" t="s">
        <v>24</v>
      </c>
      <c r="D146" s="35" t="s">
        <v>189</v>
      </c>
      <c r="E146" s="46"/>
      <c r="F146" s="157">
        <f>F147</f>
        <v>407.284</v>
      </c>
      <c r="G146" s="157">
        <f>G147</f>
        <v>122.78</v>
      </c>
      <c r="H146" s="343">
        <f t="shared" si="9"/>
        <v>30.146040600661944</v>
      </c>
    </row>
    <row r="147" spans="1:8" ht="27" customHeight="1">
      <c r="A147" s="21" t="s">
        <v>303</v>
      </c>
      <c r="B147" s="13"/>
      <c r="C147" s="59" t="s">
        <v>24</v>
      </c>
      <c r="D147" s="35" t="s">
        <v>189</v>
      </c>
      <c r="E147" s="28">
        <v>240</v>
      </c>
      <c r="F147" s="157">
        <f>(900+350)/2+144-0.0018-361.7142</f>
        <v>407.284</v>
      </c>
      <c r="G147" s="157">
        <f>94.88+27.9</f>
        <v>122.78</v>
      </c>
      <c r="H147" s="343">
        <f t="shared" si="9"/>
        <v>30.146040600661944</v>
      </c>
    </row>
    <row r="148" spans="1:8" ht="38.25">
      <c r="A148" s="3" t="s">
        <v>297</v>
      </c>
      <c r="B148" s="15"/>
      <c r="C148" s="59" t="s">
        <v>24</v>
      </c>
      <c r="D148" s="35" t="s">
        <v>195</v>
      </c>
      <c r="E148" s="90"/>
      <c r="F148" s="157">
        <f>F149</f>
        <v>872.6</v>
      </c>
      <c r="G148" s="157">
        <f>G149</f>
        <v>872.5799999999999</v>
      </c>
      <c r="H148" s="343">
        <f t="shared" si="9"/>
        <v>99.99770799908319</v>
      </c>
    </row>
    <row r="149" spans="1:8" s="19" customFormat="1" ht="27.75" customHeight="1">
      <c r="A149" s="21" t="s">
        <v>303</v>
      </c>
      <c r="B149" s="3"/>
      <c r="C149" s="59" t="s">
        <v>24</v>
      </c>
      <c r="D149" s="35" t="s">
        <v>195</v>
      </c>
      <c r="E149" s="28">
        <v>240</v>
      </c>
      <c r="F149" s="154">
        <f>5100/2-550-500-200-872+529.5-84.9</f>
        <v>872.6</v>
      </c>
      <c r="G149" s="154">
        <f>169.78+702.8</f>
        <v>872.5799999999999</v>
      </c>
      <c r="H149" s="343">
        <f t="shared" si="9"/>
        <v>99.99770799908319</v>
      </c>
    </row>
    <row r="150" spans="1:8" ht="38.25" hidden="1">
      <c r="A150" s="3" t="s">
        <v>242</v>
      </c>
      <c r="B150" s="21"/>
      <c r="C150" s="59" t="s">
        <v>24</v>
      </c>
      <c r="D150" s="35" t="s">
        <v>240</v>
      </c>
      <c r="E150" s="90"/>
      <c r="F150" s="157">
        <f>F151</f>
        <v>0</v>
      </c>
      <c r="G150" s="157">
        <f>G151</f>
        <v>0</v>
      </c>
      <c r="H150" s="343" t="e">
        <f t="shared" si="9"/>
        <v>#DIV/0!</v>
      </c>
    </row>
    <row r="151" spans="1:8" s="19" customFormat="1" ht="25.5" hidden="1">
      <c r="A151" s="3" t="s">
        <v>27</v>
      </c>
      <c r="B151" s="13"/>
      <c r="C151" s="59" t="s">
        <v>24</v>
      </c>
      <c r="D151" s="35" t="s">
        <v>240</v>
      </c>
      <c r="E151" s="1" t="s">
        <v>26</v>
      </c>
      <c r="F151" s="154"/>
      <c r="G151" s="154"/>
      <c r="H151" s="343" t="e">
        <f t="shared" si="9"/>
        <v>#DIV/0!</v>
      </c>
    </row>
    <row r="152" spans="1:8" s="52" customFormat="1" ht="48" customHeight="1">
      <c r="A152" s="13" t="s">
        <v>190</v>
      </c>
      <c r="B152" s="15"/>
      <c r="C152" s="10" t="s">
        <v>24</v>
      </c>
      <c r="D152" s="11" t="s">
        <v>63</v>
      </c>
      <c r="E152" s="11"/>
      <c r="F152" s="149">
        <f aca="true" t="shared" si="11" ref="F152:G154">F153</f>
        <v>979</v>
      </c>
      <c r="G152" s="149">
        <f t="shared" si="11"/>
        <v>978.11</v>
      </c>
      <c r="H152" s="343">
        <f t="shared" si="9"/>
        <v>99.90909090909092</v>
      </c>
    </row>
    <row r="153" spans="1:8" s="61" customFormat="1" ht="57" customHeight="1">
      <c r="A153" s="83" t="s">
        <v>191</v>
      </c>
      <c r="B153" s="17"/>
      <c r="C153" s="10" t="s">
        <v>24</v>
      </c>
      <c r="D153" s="11" t="s">
        <v>192</v>
      </c>
      <c r="E153" s="11"/>
      <c r="F153" s="149">
        <f t="shared" si="11"/>
        <v>979</v>
      </c>
      <c r="G153" s="149">
        <f t="shared" si="11"/>
        <v>978.11</v>
      </c>
      <c r="H153" s="343">
        <f t="shared" si="9"/>
        <v>99.90909090909092</v>
      </c>
    </row>
    <row r="154" spans="1:8" s="61" customFormat="1" ht="59.25" customHeight="1">
      <c r="A154" s="20" t="s">
        <v>241</v>
      </c>
      <c r="B154" s="24"/>
      <c r="C154" s="59" t="s">
        <v>24</v>
      </c>
      <c r="D154" s="91" t="s">
        <v>193</v>
      </c>
      <c r="E154" s="1"/>
      <c r="F154" s="154">
        <f t="shared" si="11"/>
        <v>979</v>
      </c>
      <c r="G154" s="154">
        <f t="shared" si="11"/>
        <v>978.11</v>
      </c>
      <c r="H154" s="343">
        <f t="shared" si="9"/>
        <v>99.90909090909092</v>
      </c>
    </row>
    <row r="155" spans="1:8" s="60" customFormat="1" ht="15.75" customHeight="1">
      <c r="A155" s="21" t="s">
        <v>303</v>
      </c>
      <c r="B155" s="15"/>
      <c r="C155" s="59" t="s">
        <v>24</v>
      </c>
      <c r="D155" s="91" t="s">
        <v>193</v>
      </c>
      <c r="E155" s="36">
        <v>240</v>
      </c>
      <c r="F155" s="157">
        <f>1100-121</f>
        <v>979</v>
      </c>
      <c r="G155" s="157">
        <v>978.11</v>
      </c>
      <c r="H155" s="343">
        <f t="shared" si="9"/>
        <v>99.90909090909092</v>
      </c>
    </row>
    <row r="156" spans="1:8" s="56" customFormat="1" ht="51">
      <c r="A156" s="39" t="s">
        <v>183</v>
      </c>
      <c r="B156" s="20"/>
      <c r="C156" s="58" t="s">
        <v>24</v>
      </c>
      <c r="D156" s="40" t="s">
        <v>1</v>
      </c>
      <c r="E156" s="42"/>
      <c r="F156" s="158">
        <f>F157+F167</f>
        <v>19662.3639</v>
      </c>
      <c r="G156" s="158">
        <f>G157+G167</f>
        <v>19662.3639</v>
      </c>
      <c r="H156" s="343">
        <f t="shared" si="9"/>
        <v>100</v>
      </c>
    </row>
    <row r="157" spans="1:8" s="52" customFormat="1" ht="102">
      <c r="A157" s="39" t="s">
        <v>185</v>
      </c>
      <c r="B157" s="18"/>
      <c r="C157" s="58" t="s">
        <v>24</v>
      </c>
      <c r="D157" s="43" t="s">
        <v>184</v>
      </c>
      <c r="E157" s="45"/>
      <c r="F157" s="158">
        <f>F158+F160+F165</f>
        <v>19662.3639</v>
      </c>
      <c r="G157" s="158">
        <f>G158+G160+G165</f>
        <v>19662.3639</v>
      </c>
      <c r="H157" s="343">
        <f t="shared" si="9"/>
        <v>100</v>
      </c>
    </row>
    <row r="158" spans="1:8" s="52" customFormat="1" ht="127.5">
      <c r="A158" s="44" t="s">
        <v>187</v>
      </c>
      <c r="B158" s="24"/>
      <c r="C158" s="59" t="s">
        <v>24</v>
      </c>
      <c r="D158" s="35" t="s">
        <v>245</v>
      </c>
      <c r="E158" s="45"/>
      <c r="F158" s="158">
        <f>F159</f>
        <v>5355.6794199999995</v>
      </c>
      <c r="G158" s="158">
        <f>G159</f>
        <v>5355.6794199999995</v>
      </c>
      <c r="H158" s="343">
        <f t="shared" si="9"/>
        <v>100</v>
      </c>
    </row>
    <row r="159" spans="1:8" ht="12.75">
      <c r="A159" s="24" t="s">
        <v>309</v>
      </c>
      <c r="B159" s="24"/>
      <c r="C159" s="59" t="s">
        <v>24</v>
      </c>
      <c r="D159" s="35" t="s">
        <v>245</v>
      </c>
      <c r="E159" s="36">
        <v>410</v>
      </c>
      <c r="F159" s="157">
        <f>1050.57729+4313.31619-8.21406</f>
        <v>5355.6794199999995</v>
      </c>
      <c r="G159" s="157">
        <f>1050.57729+4313.31619-8.21406</f>
        <v>5355.6794199999995</v>
      </c>
      <c r="H159" s="343">
        <f t="shared" si="9"/>
        <v>100</v>
      </c>
    </row>
    <row r="160" spans="1:8" ht="108" customHeight="1">
      <c r="A160" s="100" t="s">
        <v>248</v>
      </c>
      <c r="B160" s="24"/>
      <c r="C160" s="101" t="s">
        <v>24</v>
      </c>
      <c r="D160" s="102" t="s">
        <v>186</v>
      </c>
      <c r="E160" s="103"/>
      <c r="F160" s="159">
        <f>F161+F163</f>
        <v>11271.336879999999</v>
      </c>
      <c r="G160" s="159">
        <f>G161+G163</f>
        <v>11271.336879999999</v>
      </c>
      <c r="H160" s="343">
        <f t="shared" si="9"/>
        <v>100</v>
      </c>
    </row>
    <row r="161" spans="1:8" ht="140.25">
      <c r="A161" s="44" t="s">
        <v>246</v>
      </c>
      <c r="B161" s="98"/>
      <c r="C161" s="59" t="s">
        <v>24</v>
      </c>
      <c r="D161" s="35" t="s">
        <v>186</v>
      </c>
      <c r="E161" s="46"/>
      <c r="F161" s="157">
        <f>F162</f>
        <v>4508.53475</v>
      </c>
      <c r="G161" s="157">
        <f>G162</f>
        <v>4508.53475</v>
      </c>
      <c r="H161" s="343">
        <f t="shared" si="9"/>
        <v>100</v>
      </c>
    </row>
    <row r="162" spans="1:8" ht="12.75">
      <c r="A162" s="24" t="s">
        <v>309</v>
      </c>
      <c r="B162" s="13"/>
      <c r="C162" s="59" t="s">
        <v>24</v>
      </c>
      <c r="D162" s="35" t="s">
        <v>186</v>
      </c>
      <c r="E162" s="36">
        <v>410</v>
      </c>
      <c r="F162" s="157">
        <f>4515.44952-6.91477</f>
        <v>4508.53475</v>
      </c>
      <c r="G162" s="157">
        <f>4515.44952-6.91477</f>
        <v>4508.53475</v>
      </c>
      <c r="H162" s="343">
        <f t="shared" si="9"/>
        <v>100</v>
      </c>
    </row>
    <row r="163" spans="1:8" ht="140.25">
      <c r="A163" s="44" t="s">
        <v>247</v>
      </c>
      <c r="B163" s="15"/>
      <c r="C163" s="59" t="s">
        <v>24</v>
      </c>
      <c r="D163" s="35" t="s">
        <v>186</v>
      </c>
      <c r="E163" s="46"/>
      <c r="F163" s="157">
        <f>F164</f>
        <v>6762.80213</v>
      </c>
      <c r="G163" s="157">
        <f>G164</f>
        <v>6762.80213</v>
      </c>
      <c r="H163" s="343">
        <f t="shared" si="9"/>
        <v>100</v>
      </c>
    </row>
    <row r="164" spans="1:8" ht="12.75">
      <c r="A164" s="24" t="s">
        <v>309</v>
      </c>
      <c r="B164" s="38"/>
      <c r="C164" s="59" t="s">
        <v>24</v>
      </c>
      <c r="D164" s="35" t="s">
        <v>186</v>
      </c>
      <c r="E164" s="36">
        <v>410</v>
      </c>
      <c r="F164" s="157">
        <f>2387.41575+4385.75856-10.37218</f>
        <v>6762.80213</v>
      </c>
      <c r="G164" s="157">
        <f>2387.41575+4385.75856-10.37218</f>
        <v>6762.80213</v>
      </c>
      <c r="H164" s="343">
        <f t="shared" si="9"/>
        <v>100</v>
      </c>
    </row>
    <row r="165" spans="1:8" s="56" customFormat="1" ht="93" customHeight="1">
      <c r="A165" s="44" t="s">
        <v>188</v>
      </c>
      <c r="B165" s="24"/>
      <c r="C165" s="59" t="s">
        <v>24</v>
      </c>
      <c r="D165" s="35" t="s">
        <v>220</v>
      </c>
      <c r="E165" s="46"/>
      <c r="F165" s="157">
        <f>F166</f>
        <v>3035.3476</v>
      </c>
      <c r="G165" s="157">
        <f>G166</f>
        <v>3035.3476</v>
      </c>
      <c r="H165" s="343">
        <f t="shared" si="9"/>
        <v>100</v>
      </c>
    </row>
    <row r="166" spans="1:8" s="52" customFormat="1" ht="14.25" customHeight="1">
      <c r="A166" s="3" t="s">
        <v>308</v>
      </c>
      <c r="B166" s="24"/>
      <c r="C166" s="59" t="s">
        <v>24</v>
      </c>
      <c r="D166" s="35" t="s">
        <v>220</v>
      </c>
      <c r="E166" s="36">
        <v>410</v>
      </c>
      <c r="F166" s="157">
        <f>2340.9918+668.8548+25.501</f>
        <v>3035.3476</v>
      </c>
      <c r="G166" s="157">
        <f>2340.9918+668.8548+25.501</f>
        <v>3035.3476</v>
      </c>
      <c r="H166" s="343">
        <f t="shared" si="9"/>
        <v>100</v>
      </c>
    </row>
    <row r="167" spans="1:8" s="52" customFormat="1" ht="63.75" hidden="1">
      <c r="A167" s="39" t="s">
        <v>262</v>
      </c>
      <c r="B167" s="24"/>
      <c r="C167" s="58" t="s">
        <v>24</v>
      </c>
      <c r="D167" s="43" t="s">
        <v>263</v>
      </c>
      <c r="E167" s="45"/>
      <c r="F167" s="158">
        <f>F168+F170</f>
        <v>0</v>
      </c>
      <c r="G167" s="158">
        <f>G168+G170</f>
        <v>0</v>
      </c>
      <c r="H167" s="343" t="e">
        <f t="shared" si="9"/>
        <v>#DIV/0!</v>
      </c>
    </row>
    <row r="168" spans="1:8" s="52" customFormat="1" ht="89.25" hidden="1">
      <c r="A168" s="44" t="s">
        <v>269</v>
      </c>
      <c r="B168" s="24"/>
      <c r="C168" s="59" t="s">
        <v>24</v>
      </c>
      <c r="D168" s="35" t="s">
        <v>264</v>
      </c>
      <c r="E168" s="45"/>
      <c r="F168" s="158">
        <f>F169</f>
        <v>0</v>
      </c>
      <c r="G168" s="158">
        <f>G169</f>
        <v>0</v>
      </c>
      <c r="H168" s="343" t="e">
        <f t="shared" si="9"/>
        <v>#DIV/0!</v>
      </c>
    </row>
    <row r="169" spans="1:8" ht="25.5" hidden="1">
      <c r="A169" s="3" t="s">
        <v>27</v>
      </c>
      <c r="B169" s="38"/>
      <c r="C169" s="59" t="s">
        <v>24</v>
      </c>
      <c r="D169" s="35" t="s">
        <v>264</v>
      </c>
      <c r="E169" s="36">
        <v>414</v>
      </c>
      <c r="F169" s="157">
        <v>0</v>
      </c>
      <c r="G169" s="157">
        <v>0</v>
      </c>
      <c r="H169" s="343" t="e">
        <f t="shared" si="9"/>
        <v>#DIV/0!</v>
      </c>
    </row>
    <row r="170" spans="1:8" s="52" customFormat="1" ht="38.25" hidden="1">
      <c r="A170" s="44" t="s">
        <v>281</v>
      </c>
      <c r="B170" s="24"/>
      <c r="C170" s="59" t="s">
        <v>24</v>
      </c>
      <c r="D170" s="35" t="s">
        <v>280</v>
      </c>
      <c r="E170" s="45"/>
      <c r="F170" s="158">
        <f>F171</f>
        <v>0</v>
      </c>
      <c r="G170" s="158">
        <f>G171</f>
        <v>0</v>
      </c>
      <c r="H170" s="343" t="e">
        <f t="shared" si="9"/>
        <v>#DIV/0!</v>
      </c>
    </row>
    <row r="171" spans="1:8" ht="25.5" hidden="1">
      <c r="A171" s="3" t="s">
        <v>27</v>
      </c>
      <c r="B171" s="3"/>
      <c r="C171" s="59" t="s">
        <v>24</v>
      </c>
      <c r="D171" s="35" t="s">
        <v>280</v>
      </c>
      <c r="E171" s="36">
        <v>414</v>
      </c>
      <c r="F171" s="157">
        <v>0</v>
      </c>
      <c r="G171" s="157">
        <v>0</v>
      </c>
      <c r="H171" s="343" t="e">
        <f t="shared" si="9"/>
        <v>#DIV/0!</v>
      </c>
    </row>
    <row r="172" spans="1:8" s="77" customFormat="1" ht="28.5">
      <c r="A172" s="98" t="s">
        <v>66</v>
      </c>
      <c r="B172" s="24"/>
      <c r="C172" s="66" t="s">
        <v>65</v>
      </c>
      <c r="D172" s="64"/>
      <c r="E172" s="64"/>
      <c r="F172" s="150">
        <f>F173+F187</f>
        <v>29551.04687</v>
      </c>
      <c r="G172" s="150">
        <f>G173+G187</f>
        <v>27987.371999999996</v>
      </c>
      <c r="H172" s="343">
        <f t="shared" si="9"/>
        <v>94.70856353455474</v>
      </c>
    </row>
    <row r="173" spans="1:8" ht="25.5">
      <c r="A173" s="13" t="s">
        <v>111</v>
      </c>
      <c r="B173" s="3"/>
      <c r="C173" s="58" t="s">
        <v>65</v>
      </c>
      <c r="D173" s="32" t="s">
        <v>0</v>
      </c>
      <c r="E173" s="32"/>
      <c r="F173" s="152">
        <f>F174</f>
        <v>10862.042669999999</v>
      </c>
      <c r="G173" s="152">
        <f>G174</f>
        <v>9565.862</v>
      </c>
      <c r="H173" s="343">
        <f t="shared" si="9"/>
        <v>88.06687922907966</v>
      </c>
    </row>
    <row r="174" spans="1:8" ht="25.5">
      <c r="A174" s="15" t="s">
        <v>78</v>
      </c>
      <c r="B174" s="24"/>
      <c r="C174" s="58" t="s">
        <v>65</v>
      </c>
      <c r="D174" s="11" t="s">
        <v>74</v>
      </c>
      <c r="E174" s="11"/>
      <c r="F174" s="149">
        <f>F177+F179+F183+F175+F185+F181</f>
        <v>10862.042669999999</v>
      </c>
      <c r="G174" s="149">
        <f>G177+G179+G183+G175+G185+G181</f>
        <v>9565.862</v>
      </c>
      <c r="H174" s="343">
        <f t="shared" si="9"/>
        <v>88.06687922907966</v>
      </c>
    </row>
    <row r="175" spans="1:8" ht="38.25">
      <c r="A175" s="62" t="s">
        <v>295</v>
      </c>
      <c r="B175" s="24"/>
      <c r="C175" s="59" t="s">
        <v>65</v>
      </c>
      <c r="D175" s="35" t="s">
        <v>189</v>
      </c>
      <c r="E175" s="46"/>
      <c r="F175" s="157">
        <f>F176</f>
        <v>352.66220000000004</v>
      </c>
      <c r="G175" s="157">
        <f>G176</f>
        <v>352.55</v>
      </c>
      <c r="H175" s="343">
        <f aca="true" t="shared" si="12" ref="H175:H238">G175/F175*100</f>
        <v>99.9681848522467</v>
      </c>
    </row>
    <row r="176" spans="1:8" ht="31.5" customHeight="1">
      <c r="A176" s="21" t="s">
        <v>303</v>
      </c>
      <c r="B176" s="24"/>
      <c r="C176" s="59" t="s">
        <v>65</v>
      </c>
      <c r="D176" s="35" t="s">
        <v>189</v>
      </c>
      <c r="E176" s="28">
        <v>240</v>
      </c>
      <c r="F176" s="157">
        <f>300+495-0.0036-114.6342-327.7</f>
        <v>352.66220000000004</v>
      </c>
      <c r="G176" s="157">
        <f>53.01+299.54</f>
        <v>352.55</v>
      </c>
      <c r="H176" s="343">
        <f t="shared" si="12"/>
        <v>99.9681848522467</v>
      </c>
    </row>
    <row r="177" spans="1:8" ht="25.5">
      <c r="A177" s="3" t="s">
        <v>196</v>
      </c>
      <c r="B177" s="39"/>
      <c r="C177" s="59" t="s">
        <v>65</v>
      </c>
      <c r="D177" s="35" t="s">
        <v>135</v>
      </c>
      <c r="E177" s="36"/>
      <c r="F177" s="157">
        <f>F178</f>
        <v>655.2825</v>
      </c>
      <c r="G177" s="157">
        <v>655.28</v>
      </c>
      <c r="H177" s="343">
        <f t="shared" si="12"/>
        <v>99.99961848515716</v>
      </c>
    </row>
    <row r="178" spans="1:8" ht="38.25">
      <c r="A178" s="21" t="s">
        <v>34</v>
      </c>
      <c r="B178" s="39"/>
      <c r="C178" s="59" t="s">
        <v>65</v>
      </c>
      <c r="D178" s="35" t="s">
        <v>135</v>
      </c>
      <c r="E178" s="36">
        <v>810</v>
      </c>
      <c r="F178" s="157">
        <f>500+230-74.7175</f>
        <v>655.2825</v>
      </c>
      <c r="G178" s="157">
        <f>500+230-74.7175</f>
        <v>655.2825</v>
      </c>
      <c r="H178" s="343">
        <f t="shared" si="12"/>
        <v>100</v>
      </c>
    </row>
    <row r="179" spans="1:8" s="60" customFormat="1" ht="25.5">
      <c r="A179" s="118" t="s">
        <v>286</v>
      </c>
      <c r="B179" s="44"/>
      <c r="C179" s="18" t="s">
        <v>65</v>
      </c>
      <c r="D179" s="1" t="s">
        <v>285</v>
      </c>
      <c r="E179" s="90"/>
      <c r="F179" s="157">
        <f>F180</f>
        <v>2380.49397</v>
      </c>
      <c r="G179" s="157">
        <f>G180</f>
        <v>2380.49</v>
      </c>
      <c r="H179" s="343">
        <f t="shared" si="12"/>
        <v>99.99983322789092</v>
      </c>
    </row>
    <row r="180" spans="1:8" s="60" customFormat="1" ht="29.25" customHeight="1">
      <c r="A180" s="21" t="s">
        <v>303</v>
      </c>
      <c r="B180" s="24"/>
      <c r="C180" s="18" t="s">
        <v>65</v>
      </c>
      <c r="D180" s="1" t="s">
        <v>285</v>
      </c>
      <c r="E180" s="28">
        <v>240</v>
      </c>
      <c r="F180" s="157">
        <f>293.5936+1894.272+1245.33-1052.70163</f>
        <v>2380.49397</v>
      </c>
      <c r="G180" s="157">
        <v>2380.49</v>
      </c>
      <c r="H180" s="343">
        <f t="shared" si="12"/>
        <v>99.99983322789092</v>
      </c>
    </row>
    <row r="181" spans="1:8" s="60" customFormat="1" ht="25.5" customHeight="1">
      <c r="A181" s="118" t="s">
        <v>533</v>
      </c>
      <c r="B181" s="24"/>
      <c r="C181" s="18" t="s">
        <v>65</v>
      </c>
      <c r="D181" s="1" t="s">
        <v>534</v>
      </c>
      <c r="E181" s="90"/>
      <c r="F181" s="157">
        <f>F182</f>
        <v>1000</v>
      </c>
      <c r="G181" s="157">
        <f>G182</f>
        <v>1000</v>
      </c>
      <c r="H181" s="343">
        <f t="shared" si="12"/>
        <v>100</v>
      </c>
    </row>
    <row r="182" spans="1:8" s="60" customFormat="1" ht="25.5">
      <c r="A182" s="24" t="s">
        <v>38</v>
      </c>
      <c r="B182" s="24"/>
      <c r="C182" s="18" t="s">
        <v>65</v>
      </c>
      <c r="D182" s="1" t="s">
        <v>534</v>
      </c>
      <c r="E182" s="90">
        <v>240</v>
      </c>
      <c r="F182" s="157">
        <v>1000</v>
      </c>
      <c r="G182" s="157">
        <v>1000</v>
      </c>
      <c r="H182" s="343">
        <f t="shared" si="12"/>
        <v>100</v>
      </c>
    </row>
    <row r="183" spans="1:8" s="60" customFormat="1" ht="25.5">
      <c r="A183" s="118" t="s">
        <v>542</v>
      </c>
      <c r="B183" s="24"/>
      <c r="C183" s="18" t="s">
        <v>65</v>
      </c>
      <c r="D183" s="1" t="s">
        <v>284</v>
      </c>
      <c r="E183" s="90"/>
      <c r="F183" s="157">
        <f>F184</f>
        <v>270.672</v>
      </c>
      <c r="G183" s="157">
        <f>G184</f>
        <v>270.672</v>
      </c>
      <c r="H183" s="343">
        <f t="shared" si="12"/>
        <v>100</v>
      </c>
    </row>
    <row r="184" spans="1:8" s="60" customFormat="1" ht="25.5">
      <c r="A184" s="24" t="s">
        <v>38</v>
      </c>
      <c r="B184" s="24"/>
      <c r="C184" s="18" t="s">
        <v>65</v>
      </c>
      <c r="D184" s="1" t="s">
        <v>284</v>
      </c>
      <c r="E184" s="90">
        <v>244</v>
      </c>
      <c r="F184" s="157">
        <v>270.672</v>
      </c>
      <c r="G184" s="157">
        <v>270.672</v>
      </c>
      <c r="H184" s="343">
        <f t="shared" si="12"/>
        <v>100</v>
      </c>
    </row>
    <row r="185" spans="1:8" s="60" customFormat="1" ht="25.5">
      <c r="A185" s="24" t="s">
        <v>529</v>
      </c>
      <c r="B185" s="39"/>
      <c r="C185" s="18" t="s">
        <v>65</v>
      </c>
      <c r="D185" s="1" t="s">
        <v>526</v>
      </c>
      <c r="E185" s="90"/>
      <c r="F185" s="157">
        <f>F186</f>
        <v>6202.932</v>
      </c>
      <c r="G185" s="157">
        <f>G186</f>
        <v>4906.87</v>
      </c>
      <c r="H185" s="343">
        <f t="shared" si="12"/>
        <v>79.10565519660703</v>
      </c>
    </row>
    <row r="186" spans="1:8" s="60" customFormat="1" ht="28.5" customHeight="1">
      <c r="A186" s="21" t="s">
        <v>303</v>
      </c>
      <c r="B186" s="44"/>
      <c r="C186" s="18" t="s">
        <v>65</v>
      </c>
      <c r="D186" s="1" t="s">
        <v>526</v>
      </c>
      <c r="E186" s="90">
        <v>240</v>
      </c>
      <c r="F186" s="157">
        <v>6202.932</v>
      </c>
      <c r="G186" s="157">
        <v>4906.87</v>
      </c>
      <c r="H186" s="343">
        <f t="shared" si="12"/>
        <v>79.10565519660703</v>
      </c>
    </row>
    <row r="187" spans="1:8" s="52" customFormat="1" ht="48" customHeight="1">
      <c r="A187" s="13" t="s">
        <v>190</v>
      </c>
      <c r="B187" s="24"/>
      <c r="C187" s="10" t="s">
        <v>65</v>
      </c>
      <c r="D187" s="11" t="s">
        <v>63</v>
      </c>
      <c r="E187" s="11"/>
      <c r="F187" s="149">
        <f>F188+F194+F205</f>
        <v>18689.0042</v>
      </c>
      <c r="G187" s="149">
        <f>G188+G194+G205</f>
        <v>18421.51</v>
      </c>
      <c r="H187" s="343">
        <f t="shared" si="12"/>
        <v>98.56870811768557</v>
      </c>
    </row>
    <row r="188" spans="1:8" s="52" customFormat="1" ht="70.5" customHeight="1">
      <c r="A188" s="15" t="s">
        <v>197</v>
      </c>
      <c r="B188" s="44"/>
      <c r="C188" s="10" t="s">
        <v>65</v>
      </c>
      <c r="D188" s="11" t="s">
        <v>67</v>
      </c>
      <c r="E188" s="11"/>
      <c r="F188" s="149">
        <f>F189</f>
        <v>13676.524270000002</v>
      </c>
      <c r="G188" s="149">
        <f>G189</f>
        <v>13656.36</v>
      </c>
      <c r="H188" s="343">
        <f t="shared" si="12"/>
        <v>99.85256290558975</v>
      </c>
    </row>
    <row r="189" spans="1:8" ht="79.5" customHeight="1">
      <c r="A189" s="17" t="s">
        <v>198</v>
      </c>
      <c r="B189" s="24"/>
      <c r="C189" s="18" t="s">
        <v>65</v>
      </c>
      <c r="D189" s="1" t="s">
        <v>199</v>
      </c>
      <c r="E189" s="1"/>
      <c r="F189" s="154">
        <f>F190+F191+F192</f>
        <v>13676.524270000002</v>
      </c>
      <c r="G189" s="154">
        <f>G190+G191+G192</f>
        <v>13656.36</v>
      </c>
      <c r="H189" s="343">
        <f t="shared" si="12"/>
        <v>99.85256290558975</v>
      </c>
    </row>
    <row r="190" spans="1:8" s="9" customFormat="1" ht="29.25" customHeight="1">
      <c r="A190" s="21" t="s">
        <v>303</v>
      </c>
      <c r="B190" s="63"/>
      <c r="C190" s="18" t="s">
        <v>65</v>
      </c>
      <c r="D190" s="1" t="s">
        <v>199</v>
      </c>
      <c r="E190" s="28">
        <v>240</v>
      </c>
      <c r="F190" s="154">
        <f>3350/2-529.20454-738.44576</f>
        <v>407.3497000000001</v>
      </c>
      <c r="G190" s="154">
        <f>326.54+80.81</f>
        <v>407.35</v>
      </c>
      <c r="H190" s="343">
        <f t="shared" si="12"/>
        <v>100.00007364679536</v>
      </c>
    </row>
    <row r="191" spans="1:8" s="60" customFormat="1" ht="38.25">
      <c r="A191" s="21" t="s">
        <v>34</v>
      </c>
      <c r="B191" s="63"/>
      <c r="C191" s="18" t="s">
        <v>65</v>
      </c>
      <c r="D191" s="1" t="s">
        <v>199</v>
      </c>
      <c r="E191" s="36">
        <v>810</v>
      </c>
      <c r="F191" s="157">
        <f>529.20454+806.18003</f>
        <v>1335.38457</v>
      </c>
      <c r="G191" s="157">
        <f>1324.91</f>
        <v>1324.91</v>
      </c>
      <c r="H191" s="343">
        <f t="shared" si="12"/>
        <v>99.21561397103758</v>
      </c>
    </row>
    <row r="192" spans="1:8" s="61" customFormat="1" ht="82.5" customHeight="1">
      <c r="A192" s="20" t="s">
        <v>290</v>
      </c>
      <c r="B192" s="63"/>
      <c r="C192" s="18" t="s">
        <v>65</v>
      </c>
      <c r="D192" s="1" t="s">
        <v>527</v>
      </c>
      <c r="E192" s="1"/>
      <c r="F192" s="154">
        <f>F193</f>
        <v>11933.79</v>
      </c>
      <c r="G192" s="154">
        <f>G193</f>
        <v>11924.1</v>
      </c>
      <c r="H192" s="343">
        <f t="shared" si="12"/>
        <v>99.91880198997971</v>
      </c>
    </row>
    <row r="193" spans="1:8" s="60" customFormat="1" ht="38.25">
      <c r="A193" s="21" t="s">
        <v>34</v>
      </c>
      <c r="B193" s="63"/>
      <c r="C193" s="18" t="s">
        <v>65</v>
      </c>
      <c r="D193" s="1" t="s">
        <v>527</v>
      </c>
      <c r="E193" s="36">
        <v>810</v>
      </c>
      <c r="F193" s="157">
        <f>4761.801-629.271+7801.26</f>
        <v>11933.79</v>
      </c>
      <c r="G193" s="157">
        <v>11924.1</v>
      </c>
      <c r="H193" s="343">
        <f t="shared" si="12"/>
        <v>99.91880198997971</v>
      </c>
    </row>
    <row r="194" spans="1:8" s="61" customFormat="1" ht="79.5" customHeight="1">
      <c r="A194" s="15" t="s">
        <v>200</v>
      </c>
      <c r="B194" s="63"/>
      <c r="C194" s="10" t="s">
        <v>65</v>
      </c>
      <c r="D194" s="11" t="s">
        <v>201</v>
      </c>
      <c r="E194" s="11"/>
      <c r="F194" s="149">
        <f>F195+F200+F198+F202</f>
        <v>4164.87993</v>
      </c>
      <c r="G194" s="149">
        <f>G195+G200+G198+G202</f>
        <v>3998.69</v>
      </c>
      <c r="H194" s="343">
        <f t="shared" si="12"/>
        <v>96.00973058543852</v>
      </c>
    </row>
    <row r="195" spans="1:8" s="61" customFormat="1" ht="81" customHeight="1">
      <c r="A195" s="20" t="s">
        <v>291</v>
      </c>
      <c r="B195" s="63"/>
      <c r="C195" s="18" t="s">
        <v>65</v>
      </c>
      <c r="D195" s="1" t="s">
        <v>202</v>
      </c>
      <c r="E195" s="1"/>
      <c r="F195" s="154">
        <f>F196+F197</f>
        <v>1059.26573</v>
      </c>
      <c r="G195" s="154">
        <f>G196+G197</f>
        <v>1058.93</v>
      </c>
      <c r="H195" s="343">
        <f t="shared" si="12"/>
        <v>99.9683054034043</v>
      </c>
    </row>
    <row r="196" spans="1:8" s="60" customFormat="1" ht="25.5" hidden="1">
      <c r="A196" s="21" t="s">
        <v>34</v>
      </c>
      <c r="B196" s="15"/>
      <c r="C196" s="18" t="s">
        <v>65</v>
      </c>
      <c r="D196" s="1" t="s">
        <v>202</v>
      </c>
      <c r="E196" s="36">
        <v>810</v>
      </c>
      <c r="F196" s="157"/>
      <c r="G196" s="157"/>
      <c r="H196" s="343"/>
    </row>
    <row r="197" spans="1:8" ht="31.5" customHeight="1">
      <c r="A197" s="21" t="s">
        <v>303</v>
      </c>
      <c r="B197" s="21"/>
      <c r="C197" s="18" t="s">
        <v>65</v>
      </c>
      <c r="D197" s="1" t="s">
        <v>202</v>
      </c>
      <c r="E197" s="28">
        <v>240</v>
      </c>
      <c r="F197" s="154">
        <f>1690-67.73427-563</f>
        <v>1059.26573</v>
      </c>
      <c r="G197" s="154">
        <f>1029.72+29.21</f>
        <v>1058.93</v>
      </c>
      <c r="H197" s="343">
        <f t="shared" si="12"/>
        <v>99.9683054034043</v>
      </c>
    </row>
    <row r="198" spans="1:8" ht="78" customHeight="1">
      <c r="A198" s="21" t="s">
        <v>550</v>
      </c>
      <c r="B198" s="21"/>
      <c r="C198" s="18" t="s">
        <v>65</v>
      </c>
      <c r="D198" s="1" t="s">
        <v>318</v>
      </c>
      <c r="E198" s="28"/>
      <c r="F198" s="154">
        <f>F199</f>
        <v>2135.6142</v>
      </c>
      <c r="G198" s="154">
        <f>G199</f>
        <v>1969.76</v>
      </c>
      <c r="H198" s="343">
        <f t="shared" si="12"/>
        <v>92.2338875626506</v>
      </c>
    </row>
    <row r="199" spans="1:8" ht="15.75" customHeight="1">
      <c r="A199" s="24" t="s">
        <v>309</v>
      </c>
      <c r="B199" s="21"/>
      <c r="C199" s="18" t="s">
        <v>65</v>
      </c>
      <c r="D199" s="1" t="s">
        <v>318</v>
      </c>
      <c r="E199" s="28">
        <v>410</v>
      </c>
      <c r="F199" s="154">
        <f>470+1665.6142</f>
        <v>2135.6142</v>
      </c>
      <c r="G199" s="154">
        <v>1969.76</v>
      </c>
      <c r="H199" s="343">
        <f t="shared" si="12"/>
        <v>92.2338875626506</v>
      </c>
    </row>
    <row r="200" spans="1:8" s="61" customFormat="1" ht="89.25" hidden="1">
      <c r="A200" s="20" t="s">
        <v>290</v>
      </c>
      <c r="B200" s="21"/>
      <c r="C200" s="18" t="s">
        <v>65</v>
      </c>
      <c r="D200" s="1" t="s">
        <v>267</v>
      </c>
      <c r="E200" s="1"/>
      <c r="F200" s="154">
        <f>F201</f>
        <v>0</v>
      </c>
      <c r="G200" s="154">
        <f>G201</f>
        <v>0</v>
      </c>
      <c r="H200" s="343" t="e">
        <f t="shared" si="12"/>
        <v>#DIV/0!</v>
      </c>
    </row>
    <row r="201" spans="1:8" s="60" customFormat="1" ht="25.5" hidden="1">
      <c r="A201" s="21" t="s">
        <v>34</v>
      </c>
      <c r="B201" s="31"/>
      <c r="C201" s="18" t="s">
        <v>65</v>
      </c>
      <c r="D201" s="1" t="s">
        <v>267</v>
      </c>
      <c r="E201" s="36">
        <v>810</v>
      </c>
      <c r="F201" s="157"/>
      <c r="G201" s="157"/>
      <c r="H201" s="343" t="e">
        <f t="shared" si="12"/>
        <v>#DIV/0!</v>
      </c>
    </row>
    <row r="202" spans="1:8" ht="27" customHeight="1">
      <c r="A202" s="21" t="s">
        <v>339</v>
      </c>
      <c r="B202" s="15"/>
      <c r="C202" s="18" t="s">
        <v>65</v>
      </c>
      <c r="D202" s="1" t="s">
        <v>332</v>
      </c>
      <c r="E202" s="28"/>
      <c r="F202" s="154">
        <f>F203+F204</f>
        <v>970</v>
      </c>
      <c r="G202" s="154">
        <f>G203+G204</f>
        <v>970</v>
      </c>
      <c r="H202" s="343">
        <f t="shared" si="12"/>
        <v>100</v>
      </c>
    </row>
    <row r="203" spans="1:8" ht="31.5" customHeight="1">
      <c r="A203" s="21" t="s">
        <v>303</v>
      </c>
      <c r="B203" s="21"/>
      <c r="C203" s="18" t="s">
        <v>65</v>
      </c>
      <c r="D203" s="1" t="s">
        <v>332</v>
      </c>
      <c r="E203" s="28">
        <v>240</v>
      </c>
      <c r="F203" s="154">
        <f>500</f>
        <v>500</v>
      </c>
      <c r="G203" s="154">
        <f>500</f>
        <v>500</v>
      </c>
      <c r="H203" s="343">
        <f t="shared" si="12"/>
        <v>100</v>
      </c>
    </row>
    <row r="204" spans="1:8" ht="20.25" customHeight="1">
      <c r="A204" s="24" t="s">
        <v>309</v>
      </c>
      <c r="B204" s="25"/>
      <c r="C204" s="18" t="s">
        <v>65</v>
      </c>
      <c r="D204" s="1" t="s">
        <v>332</v>
      </c>
      <c r="E204" s="30">
        <v>410</v>
      </c>
      <c r="F204" s="154">
        <v>470</v>
      </c>
      <c r="G204" s="154">
        <v>470</v>
      </c>
      <c r="H204" s="343">
        <f t="shared" si="12"/>
        <v>100</v>
      </c>
    </row>
    <row r="205" spans="1:8" s="61" customFormat="1" ht="75.75" customHeight="1">
      <c r="A205" s="83" t="s">
        <v>232</v>
      </c>
      <c r="B205" s="39"/>
      <c r="C205" s="10" t="s">
        <v>65</v>
      </c>
      <c r="D205" s="11" t="s">
        <v>230</v>
      </c>
      <c r="E205" s="11"/>
      <c r="F205" s="149">
        <f>F206</f>
        <v>847.6</v>
      </c>
      <c r="G205" s="149">
        <f>G206</f>
        <v>766.46</v>
      </c>
      <c r="H205" s="343">
        <f t="shared" si="12"/>
        <v>90.42708824917413</v>
      </c>
    </row>
    <row r="206" spans="1:8" s="61" customFormat="1" ht="84" customHeight="1">
      <c r="A206" s="20" t="s">
        <v>231</v>
      </c>
      <c r="B206" s="44"/>
      <c r="C206" s="59" t="s">
        <v>65</v>
      </c>
      <c r="D206" s="91" t="s">
        <v>229</v>
      </c>
      <c r="E206" s="1"/>
      <c r="F206" s="154">
        <f>F207+F208</f>
        <v>847.6</v>
      </c>
      <c r="G206" s="154">
        <f>G207+G208</f>
        <v>766.46</v>
      </c>
      <c r="H206" s="343">
        <f t="shared" si="12"/>
        <v>90.42708824917413</v>
      </c>
    </row>
    <row r="207" spans="1:8" s="60" customFormat="1" ht="25.5">
      <c r="A207" s="24" t="s">
        <v>38</v>
      </c>
      <c r="B207" s="21"/>
      <c r="C207" s="59" t="s">
        <v>65</v>
      </c>
      <c r="D207" s="91" t="s">
        <v>229</v>
      </c>
      <c r="E207" s="28">
        <v>240</v>
      </c>
      <c r="F207" s="157">
        <f>1200-500-291</f>
        <v>409</v>
      </c>
      <c r="G207" s="157">
        <v>327.87</v>
      </c>
      <c r="H207" s="343">
        <f t="shared" si="12"/>
        <v>80.1638141809291</v>
      </c>
    </row>
    <row r="208" spans="1:8" s="60" customFormat="1" ht="25.5">
      <c r="A208" s="24" t="s">
        <v>309</v>
      </c>
      <c r="B208" s="21"/>
      <c r="C208" s="59" t="s">
        <v>65</v>
      </c>
      <c r="D208" s="91" t="s">
        <v>229</v>
      </c>
      <c r="E208" s="36">
        <v>410</v>
      </c>
      <c r="F208" s="157">
        <f>1000-200-361.4</f>
        <v>438.6</v>
      </c>
      <c r="G208" s="157">
        <v>438.59</v>
      </c>
      <c r="H208" s="343">
        <f t="shared" si="12"/>
        <v>99.99772001823985</v>
      </c>
    </row>
    <row r="209" spans="1:8" s="78" customFormat="1" ht="28.5">
      <c r="A209" s="75" t="s">
        <v>100</v>
      </c>
      <c r="B209" s="63"/>
      <c r="C209" s="66" t="s">
        <v>101</v>
      </c>
      <c r="D209" s="64"/>
      <c r="E209" s="64"/>
      <c r="F209" s="152">
        <f>F210+F230+F245+F249</f>
        <v>16148.132</v>
      </c>
      <c r="G209" s="152">
        <f>G210+G230+G245+G249</f>
        <v>16099.129</v>
      </c>
      <c r="H209" s="343">
        <f t="shared" si="12"/>
        <v>99.69654075158662</v>
      </c>
    </row>
    <row r="210" spans="1:8" ht="25.5">
      <c r="A210" s="15" t="s">
        <v>78</v>
      </c>
      <c r="B210" s="63"/>
      <c r="C210" s="58" t="s">
        <v>101</v>
      </c>
      <c r="D210" s="11" t="s">
        <v>74</v>
      </c>
      <c r="E210" s="11"/>
      <c r="F210" s="149">
        <f>F211+F218+F220+F222+F226+F224+F228+F216</f>
        <v>7388.4</v>
      </c>
      <c r="G210" s="149">
        <f>G211+G218+G220+G222+G226+G224+G228+G216</f>
        <v>7347.64</v>
      </c>
      <c r="H210" s="343">
        <f t="shared" si="12"/>
        <v>99.44832440041147</v>
      </c>
    </row>
    <row r="211" spans="1:8" s="9" customFormat="1" ht="38.25">
      <c r="A211" s="38" t="s">
        <v>114</v>
      </c>
      <c r="B211" s="13"/>
      <c r="C211" s="29" t="s">
        <v>101</v>
      </c>
      <c r="D211" s="28" t="s">
        <v>75</v>
      </c>
      <c r="E211" s="28"/>
      <c r="F211" s="153">
        <f>F212+F213+F214+F215</f>
        <v>1676.4</v>
      </c>
      <c r="G211" s="153">
        <f>G212+G213+G214+G215</f>
        <v>1676.17</v>
      </c>
      <c r="H211" s="343">
        <f t="shared" si="12"/>
        <v>99.98628012407539</v>
      </c>
    </row>
    <row r="212" spans="1:8" s="57" customFormat="1" ht="18.75" customHeight="1">
      <c r="A212" s="130" t="s">
        <v>306</v>
      </c>
      <c r="B212" s="15"/>
      <c r="C212" s="29" t="s">
        <v>101</v>
      </c>
      <c r="D212" s="28" t="s">
        <v>75</v>
      </c>
      <c r="E212" s="28">
        <v>110</v>
      </c>
      <c r="F212" s="153">
        <f>1189.5+410.9</f>
        <v>1600.4</v>
      </c>
      <c r="G212" s="153">
        <f>1189.42+410.89</f>
        <v>1600.31</v>
      </c>
      <c r="H212" s="343">
        <f t="shared" si="12"/>
        <v>99.9943764058985</v>
      </c>
    </row>
    <row r="213" spans="1:8" s="16" customFormat="1" ht="25.5" hidden="1">
      <c r="A213" s="24" t="s">
        <v>115</v>
      </c>
      <c r="B213" s="3"/>
      <c r="C213" s="29" t="s">
        <v>101</v>
      </c>
      <c r="D213" s="28" t="s">
        <v>75</v>
      </c>
      <c r="E213" s="28">
        <v>112</v>
      </c>
      <c r="F213" s="153">
        <v>0</v>
      </c>
      <c r="G213" s="153">
        <v>0</v>
      </c>
      <c r="H213" s="343" t="e">
        <f t="shared" si="12"/>
        <v>#DIV/0!</v>
      </c>
    </row>
    <row r="214" spans="1:8" s="19" customFormat="1" ht="27" customHeight="1">
      <c r="A214" s="21" t="s">
        <v>303</v>
      </c>
      <c r="B214" s="3"/>
      <c r="C214" s="29" t="s">
        <v>101</v>
      </c>
      <c r="D214" s="28" t="s">
        <v>75</v>
      </c>
      <c r="E214" s="28">
        <v>240</v>
      </c>
      <c r="F214" s="153">
        <f>60.4+0.6</f>
        <v>61</v>
      </c>
      <c r="G214" s="153">
        <f>0.6+60.33</f>
        <v>60.93</v>
      </c>
      <c r="H214" s="343">
        <f t="shared" si="12"/>
        <v>99.88524590163934</v>
      </c>
    </row>
    <row r="215" spans="1:8" s="19" customFormat="1" ht="18.75" customHeight="1">
      <c r="A215" s="130" t="s">
        <v>307</v>
      </c>
      <c r="B215" s="63"/>
      <c r="C215" s="29" t="s">
        <v>101</v>
      </c>
      <c r="D215" s="28" t="s">
        <v>75</v>
      </c>
      <c r="E215" s="28">
        <v>850</v>
      </c>
      <c r="F215" s="153">
        <f>110-65-30</f>
        <v>15</v>
      </c>
      <c r="G215" s="153">
        <v>14.93</v>
      </c>
      <c r="H215" s="343">
        <f t="shared" si="12"/>
        <v>99.53333333333333</v>
      </c>
    </row>
    <row r="216" spans="1:8" s="9" customFormat="1" ht="25.5" hidden="1">
      <c r="A216" s="38" t="s">
        <v>346</v>
      </c>
      <c r="B216" s="63"/>
      <c r="C216" s="29" t="s">
        <v>101</v>
      </c>
      <c r="D216" s="28" t="s">
        <v>345</v>
      </c>
      <c r="E216" s="28"/>
      <c r="F216" s="153">
        <f>F217</f>
        <v>0</v>
      </c>
      <c r="G216" s="153">
        <f>G217</f>
        <v>0</v>
      </c>
      <c r="H216" s="343" t="e">
        <f t="shared" si="12"/>
        <v>#DIV/0!</v>
      </c>
    </row>
    <row r="217" spans="1:8" s="57" customFormat="1" ht="18.75" customHeight="1" hidden="1">
      <c r="A217" s="3" t="s">
        <v>312</v>
      </c>
      <c r="B217" s="63"/>
      <c r="C217" s="29" t="s">
        <v>101</v>
      </c>
      <c r="D217" s="28" t="s">
        <v>345</v>
      </c>
      <c r="E217" s="28">
        <v>610</v>
      </c>
      <c r="F217" s="153">
        <v>0</v>
      </c>
      <c r="G217" s="153">
        <v>0</v>
      </c>
      <c r="H217" s="343" t="e">
        <f t="shared" si="12"/>
        <v>#DIV/0!</v>
      </c>
    </row>
    <row r="218" spans="1:8" ht="25.5">
      <c r="A218" s="38" t="s">
        <v>204</v>
      </c>
      <c r="B218" s="63"/>
      <c r="C218" s="59" t="s">
        <v>101</v>
      </c>
      <c r="D218" s="35" t="s">
        <v>203</v>
      </c>
      <c r="E218" s="36"/>
      <c r="F218" s="157">
        <f>F219</f>
        <v>4662</v>
      </c>
      <c r="G218" s="157">
        <f>G219</f>
        <v>4661.73</v>
      </c>
      <c r="H218" s="343">
        <f t="shared" si="12"/>
        <v>99.99420849420848</v>
      </c>
    </row>
    <row r="219" spans="1:8" ht="29.25" customHeight="1">
      <c r="A219" s="21" t="s">
        <v>303</v>
      </c>
      <c r="B219" s="63"/>
      <c r="C219" s="59" t="s">
        <v>101</v>
      </c>
      <c r="D219" s="35" t="s">
        <v>203</v>
      </c>
      <c r="E219" s="28">
        <v>240</v>
      </c>
      <c r="F219" s="157">
        <f>3000+500+300+500+362</f>
        <v>4662</v>
      </c>
      <c r="G219" s="157">
        <f>36.78+4610.95+14</f>
        <v>4661.73</v>
      </c>
      <c r="H219" s="343">
        <f t="shared" si="12"/>
        <v>99.99420849420848</v>
      </c>
    </row>
    <row r="220" spans="1:8" s="60" customFormat="1" ht="38.25" hidden="1">
      <c r="A220" s="3" t="s">
        <v>512</v>
      </c>
      <c r="B220" s="13"/>
      <c r="C220" s="59" t="s">
        <v>101</v>
      </c>
      <c r="D220" s="35" t="s">
        <v>205</v>
      </c>
      <c r="E220" s="36"/>
      <c r="F220" s="157">
        <f>F221</f>
        <v>0</v>
      </c>
      <c r="G220" s="157">
        <f>G221</f>
        <v>0</v>
      </c>
      <c r="H220" s="343" t="e">
        <f t="shared" si="12"/>
        <v>#DIV/0!</v>
      </c>
    </row>
    <row r="221" spans="1:8" s="55" customFormat="1" ht="28.5" customHeight="1" hidden="1">
      <c r="A221" s="21" t="s">
        <v>303</v>
      </c>
      <c r="B221" s="15"/>
      <c r="C221" s="59" t="s">
        <v>101</v>
      </c>
      <c r="D221" s="35" t="s">
        <v>205</v>
      </c>
      <c r="E221" s="28">
        <v>610</v>
      </c>
      <c r="F221" s="157">
        <f>50-50+527.728-150.783-376.945</f>
        <v>0</v>
      </c>
      <c r="G221" s="157">
        <f>50-50+527.728-150.783-376.945</f>
        <v>0</v>
      </c>
      <c r="H221" s="343" t="e">
        <f t="shared" si="12"/>
        <v>#DIV/0!</v>
      </c>
    </row>
    <row r="222" spans="1:8" s="19" customFormat="1" ht="38.25">
      <c r="A222" s="3" t="s">
        <v>206</v>
      </c>
      <c r="B222" s="20"/>
      <c r="C222" s="59" t="s">
        <v>101</v>
      </c>
      <c r="D222" s="35" t="s">
        <v>207</v>
      </c>
      <c r="E222" s="36"/>
      <c r="F222" s="157">
        <f>F223</f>
        <v>750</v>
      </c>
      <c r="G222" s="157">
        <f>G223</f>
        <v>741.4300000000001</v>
      </c>
      <c r="H222" s="343">
        <f t="shared" si="12"/>
        <v>98.85733333333334</v>
      </c>
    </row>
    <row r="223" spans="1:8" s="19" customFormat="1" ht="29.25" customHeight="1">
      <c r="A223" s="21" t="s">
        <v>303</v>
      </c>
      <c r="B223" s="21"/>
      <c r="C223" s="59" t="s">
        <v>101</v>
      </c>
      <c r="D223" s="35" t="s">
        <v>207</v>
      </c>
      <c r="E223" s="28">
        <v>240</v>
      </c>
      <c r="F223" s="157">
        <f>(800+250)/2+303+302-380</f>
        <v>750</v>
      </c>
      <c r="G223" s="157">
        <f>432.41+149.9+159.12</f>
        <v>741.4300000000001</v>
      </c>
      <c r="H223" s="343">
        <f t="shared" si="12"/>
        <v>98.85733333333334</v>
      </c>
    </row>
    <row r="224" spans="1:8" s="19" customFormat="1" ht="38.25" hidden="1">
      <c r="A224" s="21" t="s">
        <v>294</v>
      </c>
      <c r="B224" s="63"/>
      <c r="C224" s="59" t="s">
        <v>101</v>
      </c>
      <c r="D224" s="35" t="s">
        <v>282</v>
      </c>
      <c r="E224" s="36"/>
      <c r="F224" s="157">
        <f>F225</f>
        <v>0</v>
      </c>
      <c r="G224" s="157">
        <f>G225</f>
        <v>0</v>
      </c>
      <c r="H224" s="343" t="e">
        <f t="shared" si="12"/>
        <v>#DIV/0!</v>
      </c>
    </row>
    <row r="225" spans="1:8" s="19" customFormat="1" ht="25.5" hidden="1">
      <c r="A225" s="24" t="s">
        <v>38</v>
      </c>
      <c r="B225" s="63"/>
      <c r="C225" s="59" t="s">
        <v>101</v>
      </c>
      <c r="D225" s="35" t="s">
        <v>282</v>
      </c>
      <c r="E225" s="36">
        <v>244</v>
      </c>
      <c r="F225" s="157"/>
      <c r="G225" s="157"/>
      <c r="H225" s="343" t="e">
        <f t="shared" si="12"/>
        <v>#DIV/0!</v>
      </c>
    </row>
    <row r="226" spans="1:8" s="19" customFormat="1" ht="12.75" hidden="1">
      <c r="A226" s="24" t="s">
        <v>253</v>
      </c>
      <c r="B226" s="13"/>
      <c r="C226" s="59" t="s">
        <v>101</v>
      </c>
      <c r="D226" s="35" t="s">
        <v>252</v>
      </c>
      <c r="E226" s="36"/>
      <c r="F226" s="157">
        <f>F227</f>
        <v>0</v>
      </c>
      <c r="G226" s="157">
        <f>G227</f>
        <v>0</v>
      </c>
      <c r="H226" s="343" t="e">
        <f t="shared" si="12"/>
        <v>#DIV/0!</v>
      </c>
    </row>
    <row r="227" spans="1:8" s="19" customFormat="1" ht="25.5" hidden="1">
      <c r="A227" s="24" t="s">
        <v>38</v>
      </c>
      <c r="B227" s="15"/>
      <c r="C227" s="59" t="s">
        <v>101</v>
      </c>
      <c r="D227" s="35" t="s">
        <v>252</v>
      </c>
      <c r="E227" s="36">
        <v>244</v>
      </c>
      <c r="F227" s="157"/>
      <c r="G227" s="157"/>
      <c r="H227" s="343" t="e">
        <f t="shared" si="12"/>
        <v>#DIV/0!</v>
      </c>
    </row>
    <row r="228" spans="1:8" s="19" customFormat="1" ht="25.5">
      <c r="A228" s="3" t="s">
        <v>333</v>
      </c>
      <c r="B228" s="21"/>
      <c r="C228" s="59" t="s">
        <v>101</v>
      </c>
      <c r="D228" s="35" t="s">
        <v>334</v>
      </c>
      <c r="E228" s="36"/>
      <c r="F228" s="157">
        <f>F229</f>
        <v>300</v>
      </c>
      <c r="G228" s="157">
        <f>G229</f>
        <v>268.31</v>
      </c>
      <c r="H228" s="343">
        <f t="shared" si="12"/>
        <v>89.43666666666667</v>
      </c>
    </row>
    <row r="229" spans="1:8" s="19" customFormat="1" ht="29.25" customHeight="1">
      <c r="A229" s="21" t="s">
        <v>303</v>
      </c>
      <c r="B229" s="21"/>
      <c r="C229" s="59" t="s">
        <v>101</v>
      </c>
      <c r="D229" s="35" t="s">
        <v>334</v>
      </c>
      <c r="E229" s="28">
        <v>240</v>
      </c>
      <c r="F229" s="157">
        <f>700-400</f>
        <v>300</v>
      </c>
      <c r="G229" s="157">
        <v>268.31</v>
      </c>
      <c r="H229" s="343">
        <f t="shared" si="12"/>
        <v>89.43666666666667</v>
      </c>
    </row>
    <row r="230" spans="1:8" s="56" customFormat="1" ht="25.5">
      <c r="A230" s="39" t="s">
        <v>208</v>
      </c>
      <c r="B230" s="21"/>
      <c r="C230" s="58" t="s">
        <v>101</v>
      </c>
      <c r="D230" s="43" t="s">
        <v>69</v>
      </c>
      <c r="E230" s="46"/>
      <c r="F230" s="158">
        <f>F231+F240</f>
        <v>8614.323</v>
      </c>
      <c r="G230" s="158">
        <f>G231+G240</f>
        <v>8606.08</v>
      </c>
      <c r="H230" s="343">
        <f t="shared" si="12"/>
        <v>99.90431053026452</v>
      </c>
    </row>
    <row r="231" spans="1:8" s="52" customFormat="1" ht="51">
      <c r="A231" s="39" t="s">
        <v>210</v>
      </c>
      <c r="B231" s="21"/>
      <c r="C231" s="58" t="s">
        <v>101</v>
      </c>
      <c r="D231" s="43" t="s">
        <v>209</v>
      </c>
      <c r="E231" s="46"/>
      <c r="F231" s="158">
        <f>F234+F236+F238+F232</f>
        <v>8614.323</v>
      </c>
      <c r="G231" s="158">
        <f>G234+G236+G238+G232</f>
        <v>8606.08</v>
      </c>
      <c r="H231" s="343">
        <f t="shared" si="12"/>
        <v>99.90431053026452</v>
      </c>
    </row>
    <row r="232" spans="1:8" ht="63.75">
      <c r="A232" s="44" t="s">
        <v>350</v>
      </c>
      <c r="B232" s="21"/>
      <c r="C232" s="59" t="s">
        <v>101</v>
      </c>
      <c r="D232" s="28" t="s">
        <v>349</v>
      </c>
      <c r="E232" s="46"/>
      <c r="F232" s="157">
        <f>F233</f>
        <v>7828.283</v>
      </c>
      <c r="G232" s="157">
        <f>G233</f>
        <v>7828.28</v>
      </c>
      <c r="H232" s="343">
        <f t="shared" si="12"/>
        <v>99.99996167742019</v>
      </c>
    </row>
    <row r="233" spans="1:8" s="57" customFormat="1" ht="18.75" customHeight="1">
      <c r="A233" s="3" t="s">
        <v>312</v>
      </c>
      <c r="B233" s="21"/>
      <c r="C233" s="29" t="s">
        <v>101</v>
      </c>
      <c r="D233" s="28" t="s">
        <v>349</v>
      </c>
      <c r="E233" s="28">
        <v>610</v>
      </c>
      <c r="F233" s="153">
        <f>463.3+1000+6314.2+150.783-100</f>
        <v>7828.283</v>
      </c>
      <c r="G233" s="153">
        <v>7828.28</v>
      </c>
      <c r="H233" s="343">
        <f t="shared" si="12"/>
        <v>99.99996167742019</v>
      </c>
    </row>
    <row r="234" spans="1:8" ht="63.75">
      <c r="A234" s="44" t="s">
        <v>233</v>
      </c>
      <c r="B234" s="21"/>
      <c r="C234" s="59" t="s">
        <v>101</v>
      </c>
      <c r="D234" s="35" t="s">
        <v>211</v>
      </c>
      <c r="E234" s="46"/>
      <c r="F234" s="157">
        <f>F235</f>
        <v>12.800000000000011</v>
      </c>
      <c r="G234" s="157">
        <f>G235</f>
        <v>12.800000000000011</v>
      </c>
      <c r="H234" s="343">
        <f t="shared" si="12"/>
        <v>100</v>
      </c>
    </row>
    <row r="235" spans="1:8" ht="25.5" customHeight="1">
      <c r="A235" s="21" t="s">
        <v>303</v>
      </c>
      <c r="B235" s="21"/>
      <c r="C235" s="59" t="s">
        <v>101</v>
      </c>
      <c r="D235" s="35" t="s">
        <v>211</v>
      </c>
      <c r="E235" s="28">
        <v>240</v>
      </c>
      <c r="F235" s="157">
        <f>676.1-200-463.3</f>
        <v>12.800000000000011</v>
      </c>
      <c r="G235" s="157">
        <f>676.1-200-463.3</f>
        <v>12.800000000000011</v>
      </c>
      <c r="H235" s="343">
        <f t="shared" si="12"/>
        <v>100</v>
      </c>
    </row>
    <row r="236" spans="1:8" ht="54" customHeight="1">
      <c r="A236" s="24" t="s">
        <v>212</v>
      </c>
      <c r="B236" s="13"/>
      <c r="C236" s="59" t="s">
        <v>101</v>
      </c>
      <c r="D236" s="35" t="s">
        <v>213</v>
      </c>
      <c r="E236" s="46"/>
      <c r="F236" s="157">
        <f>F237</f>
        <v>68</v>
      </c>
      <c r="G236" s="157">
        <f>G237</f>
        <v>67.98</v>
      </c>
      <c r="H236" s="343">
        <f t="shared" si="12"/>
        <v>99.97058823529412</v>
      </c>
    </row>
    <row r="237" spans="1:8" ht="27.75" customHeight="1">
      <c r="A237" s="21" t="s">
        <v>303</v>
      </c>
      <c r="B237" s="15"/>
      <c r="C237" s="59" t="s">
        <v>101</v>
      </c>
      <c r="D237" s="35" t="s">
        <v>213</v>
      </c>
      <c r="E237" s="28">
        <v>240</v>
      </c>
      <c r="F237" s="157">
        <f>370-302</f>
        <v>68</v>
      </c>
      <c r="G237" s="157">
        <v>67.98</v>
      </c>
      <c r="H237" s="343">
        <f t="shared" si="12"/>
        <v>99.97058823529412</v>
      </c>
    </row>
    <row r="238" spans="1:8" ht="51" customHeight="1">
      <c r="A238" s="24" t="s">
        <v>214</v>
      </c>
      <c r="B238" s="44"/>
      <c r="C238" s="59" t="s">
        <v>101</v>
      </c>
      <c r="D238" s="35" t="s">
        <v>218</v>
      </c>
      <c r="E238" s="46"/>
      <c r="F238" s="157">
        <f>F239</f>
        <v>705.2399999999998</v>
      </c>
      <c r="G238" s="157">
        <f>G239</f>
        <v>697.02</v>
      </c>
      <c r="H238" s="343">
        <f t="shared" si="12"/>
        <v>98.83443933979925</v>
      </c>
    </row>
    <row r="239" spans="1:8" ht="24.75" customHeight="1">
      <c r="A239" s="21" t="s">
        <v>303</v>
      </c>
      <c r="B239" s="21"/>
      <c r="C239" s="59" t="s">
        <v>101</v>
      </c>
      <c r="D239" s="35" t="s">
        <v>218</v>
      </c>
      <c r="E239" s="28">
        <v>240</v>
      </c>
      <c r="F239" s="157">
        <f>920+723+1222.24-500-1000-660</f>
        <v>705.2399999999998</v>
      </c>
      <c r="G239" s="157">
        <f>65.18+399.05+232.79</f>
        <v>697.02</v>
      </c>
      <c r="H239" s="343">
        <f aca="true" t="shared" si="13" ref="H239:H302">G239/F239*100</f>
        <v>98.83443933979925</v>
      </c>
    </row>
    <row r="240" spans="1:8" s="52" customFormat="1" ht="38.25" hidden="1">
      <c r="A240" s="39" t="s">
        <v>215</v>
      </c>
      <c r="B240" s="21"/>
      <c r="C240" s="58" t="s">
        <v>101</v>
      </c>
      <c r="D240" s="43" t="s">
        <v>110</v>
      </c>
      <c r="E240" s="46"/>
      <c r="F240" s="158">
        <f>F241+F243</f>
        <v>0</v>
      </c>
      <c r="G240" s="158">
        <f>G241+G243</f>
        <v>0</v>
      </c>
      <c r="H240" s="343" t="e">
        <f t="shared" si="13"/>
        <v>#DIV/0!</v>
      </c>
    </row>
    <row r="241" spans="1:8" ht="63.75" hidden="1">
      <c r="A241" s="44" t="s">
        <v>270</v>
      </c>
      <c r="B241" s="132"/>
      <c r="C241" s="59" t="s">
        <v>101</v>
      </c>
      <c r="D241" s="35" t="s">
        <v>225</v>
      </c>
      <c r="E241" s="46"/>
      <c r="F241" s="157">
        <f>F242</f>
        <v>0</v>
      </c>
      <c r="G241" s="157">
        <f>G242</f>
        <v>0</v>
      </c>
      <c r="H241" s="343" t="e">
        <f t="shared" si="13"/>
        <v>#DIV/0!</v>
      </c>
    </row>
    <row r="242" spans="1:8" ht="26.25" customHeight="1" hidden="1">
      <c r="A242" s="21" t="s">
        <v>303</v>
      </c>
      <c r="B242" s="132"/>
      <c r="C242" s="59" t="s">
        <v>101</v>
      </c>
      <c r="D242" s="35" t="s">
        <v>225</v>
      </c>
      <c r="E242" s="28">
        <v>240</v>
      </c>
      <c r="F242" s="157">
        <f>20+283-303</f>
        <v>0</v>
      </c>
      <c r="G242" s="157">
        <f>20+283-303</f>
        <v>0</v>
      </c>
      <c r="H242" s="343" t="e">
        <f t="shared" si="13"/>
        <v>#DIV/0!</v>
      </c>
    </row>
    <row r="243" spans="1:8" ht="51" hidden="1">
      <c r="A243" s="44" t="s">
        <v>234</v>
      </c>
      <c r="B243" s="132"/>
      <c r="C243" s="59" t="s">
        <v>101</v>
      </c>
      <c r="D243" s="35" t="s">
        <v>226</v>
      </c>
      <c r="E243" s="46"/>
      <c r="F243" s="157">
        <f>F244</f>
        <v>0</v>
      </c>
      <c r="G243" s="157">
        <f>G244</f>
        <v>0</v>
      </c>
      <c r="H243" s="343" t="e">
        <f t="shared" si="13"/>
        <v>#DIV/0!</v>
      </c>
    </row>
    <row r="244" spans="1:8" ht="25.5" hidden="1">
      <c r="A244" s="24" t="s">
        <v>38</v>
      </c>
      <c r="B244" s="132"/>
      <c r="C244" s="59" t="s">
        <v>101</v>
      </c>
      <c r="D244" s="35" t="s">
        <v>226</v>
      </c>
      <c r="E244" s="36">
        <v>244</v>
      </c>
      <c r="F244" s="157"/>
      <c r="G244" s="157"/>
      <c r="H244" s="343" t="e">
        <f t="shared" si="13"/>
        <v>#DIV/0!</v>
      </c>
    </row>
    <row r="245" spans="1:8" s="56" customFormat="1" ht="25.5" hidden="1">
      <c r="A245" s="39" t="s">
        <v>168</v>
      </c>
      <c r="B245" s="132"/>
      <c r="C245" s="58" t="s">
        <v>101</v>
      </c>
      <c r="D245" s="43" t="s">
        <v>170</v>
      </c>
      <c r="E245" s="46"/>
      <c r="F245" s="158">
        <f aca="true" t="shared" si="14" ref="F245:G247">F246</f>
        <v>0</v>
      </c>
      <c r="G245" s="158">
        <f t="shared" si="14"/>
        <v>0</v>
      </c>
      <c r="H245" s="343" t="e">
        <f t="shared" si="13"/>
        <v>#DIV/0!</v>
      </c>
    </row>
    <row r="246" spans="1:8" s="52" customFormat="1" ht="51" hidden="1">
      <c r="A246" s="39" t="s">
        <v>169</v>
      </c>
      <c r="B246" s="132"/>
      <c r="C246" s="40" t="s">
        <v>101</v>
      </c>
      <c r="D246" s="43" t="s">
        <v>171</v>
      </c>
      <c r="E246" s="45"/>
      <c r="F246" s="158">
        <f t="shared" si="14"/>
        <v>0</v>
      </c>
      <c r="G246" s="158">
        <f t="shared" si="14"/>
        <v>0</v>
      </c>
      <c r="H246" s="343" t="e">
        <f t="shared" si="13"/>
        <v>#DIV/0!</v>
      </c>
    </row>
    <row r="247" spans="1:8" s="19" customFormat="1" ht="51" hidden="1">
      <c r="A247" s="34" t="s">
        <v>319</v>
      </c>
      <c r="B247" s="132"/>
      <c r="C247" s="59" t="s">
        <v>101</v>
      </c>
      <c r="D247" s="35" t="s">
        <v>301</v>
      </c>
      <c r="E247" s="36"/>
      <c r="F247" s="157">
        <f t="shared" si="14"/>
        <v>0</v>
      </c>
      <c r="G247" s="157">
        <f t="shared" si="14"/>
        <v>0</v>
      </c>
      <c r="H247" s="343" t="e">
        <f t="shared" si="13"/>
        <v>#DIV/0!</v>
      </c>
    </row>
    <row r="248" spans="1:8" s="19" customFormat="1" ht="30" customHeight="1" hidden="1">
      <c r="A248" s="21" t="s">
        <v>303</v>
      </c>
      <c r="B248" s="132"/>
      <c r="C248" s="59" t="s">
        <v>101</v>
      </c>
      <c r="D248" s="35" t="s">
        <v>301</v>
      </c>
      <c r="E248" s="28">
        <v>240</v>
      </c>
      <c r="F248" s="157">
        <v>0</v>
      </c>
      <c r="G248" s="157">
        <v>0</v>
      </c>
      <c r="H248" s="343" t="e">
        <f t="shared" si="13"/>
        <v>#DIV/0!</v>
      </c>
    </row>
    <row r="249" spans="1:8" s="56" customFormat="1" ht="51">
      <c r="A249" s="39" t="s">
        <v>343</v>
      </c>
      <c r="B249" s="132"/>
      <c r="C249" s="58" t="s">
        <v>101</v>
      </c>
      <c r="D249" s="43" t="s">
        <v>340</v>
      </c>
      <c r="E249" s="46"/>
      <c r="F249" s="158">
        <f>F250</f>
        <v>145.409</v>
      </c>
      <c r="G249" s="158">
        <f>G250</f>
        <v>145.409</v>
      </c>
      <c r="H249" s="343">
        <f t="shared" si="13"/>
        <v>100</v>
      </c>
    </row>
    <row r="250" spans="1:8" s="52" customFormat="1" ht="76.5">
      <c r="A250" s="39" t="s">
        <v>344</v>
      </c>
      <c r="B250" s="132"/>
      <c r="C250" s="40" t="s">
        <v>101</v>
      </c>
      <c r="D250" s="43" t="s">
        <v>341</v>
      </c>
      <c r="E250" s="45"/>
      <c r="F250" s="158">
        <f>F251+F253</f>
        <v>145.409</v>
      </c>
      <c r="G250" s="158">
        <f>G251+G253</f>
        <v>145.409</v>
      </c>
      <c r="H250" s="343">
        <f t="shared" si="13"/>
        <v>100</v>
      </c>
    </row>
    <row r="251" spans="1:8" s="19" customFormat="1" ht="12.75">
      <c r="A251" s="34" t="s">
        <v>531</v>
      </c>
      <c r="B251" s="132"/>
      <c r="C251" s="59" t="s">
        <v>101</v>
      </c>
      <c r="D251" s="35" t="s">
        <v>342</v>
      </c>
      <c r="E251" s="36"/>
      <c r="F251" s="157">
        <f>F252</f>
        <v>13.219</v>
      </c>
      <c r="G251" s="157">
        <f>G252</f>
        <v>13.219</v>
      </c>
      <c r="H251" s="343">
        <f t="shared" si="13"/>
        <v>100</v>
      </c>
    </row>
    <row r="252" spans="1:8" s="19" customFormat="1" ht="30" customHeight="1">
      <c r="A252" s="21" t="s">
        <v>303</v>
      </c>
      <c r="B252" s="132"/>
      <c r="C252" s="59" t="s">
        <v>101</v>
      </c>
      <c r="D252" s="35" t="s">
        <v>342</v>
      </c>
      <c r="E252" s="28">
        <v>240</v>
      </c>
      <c r="F252" s="157">
        <v>13.219</v>
      </c>
      <c r="G252" s="157">
        <v>13.219</v>
      </c>
      <c r="H252" s="343">
        <f t="shared" si="13"/>
        <v>100</v>
      </c>
    </row>
    <row r="253" spans="1:8" s="19" customFormat="1" ht="30" customHeight="1">
      <c r="A253" s="21" t="s">
        <v>303</v>
      </c>
      <c r="B253" s="132"/>
      <c r="C253" s="59" t="s">
        <v>101</v>
      </c>
      <c r="D253" s="35" t="s">
        <v>511</v>
      </c>
      <c r="E253" s="28">
        <v>240</v>
      </c>
      <c r="F253" s="157">
        <v>132.19</v>
      </c>
      <c r="G253" s="157">
        <v>132.19</v>
      </c>
      <c r="H253" s="343">
        <f t="shared" si="13"/>
        <v>100</v>
      </c>
    </row>
    <row r="254" spans="1:8" s="77" customFormat="1" ht="28.5">
      <c r="A254" s="63" t="s">
        <v>95</v>
      </c>
      <c r="B254" s="132"/>
      <c r="C254" s="65" t="s">
        <v>92</v>
      </c>
      <c r="D254" s="64"/>
      <c r="E254" s="64"/>
      <c r="F254" s="150">
        <f>F255</f>
        <v>15229.28</v>
      </c>
      <c r="G254" s="150">
        <f>G255</f>
        <v>15228.910000000002</v>
      </c>
      <c r="H254" s="343">
        <f t="shared" si="13"/>
        <v>99.99757046951662</v>
      </c>
    </row>
    <row r="255" spans="1:8" s="74" customFormat="1" ht="28.5">
      <c r="A255" s="63" t="s">
        <v>18</v>
      </c>
      <c r="B255" s="132"/>
      <c r="C255" s="65" t="s">
        <v>17</v>
      </c>
      <c r="D255" s="64"/>
      <c r="E255" s="64"/>
      <c r="F255" s="150">
        <f>F265+F271+F274+F256</f>
        <v>15229.28</v>
      </c>
      <c r="G255" s="150">
        <f>G265+G271+G274+G256</f>
        <v>15228.910000000002</v>
      </c>
      <c r="H255" s="343">
        <f t="shared" si="13"/>
        <v>99.99757046951662</v>
      </c>
    </row>
    <row r="256" spans="1:8" ht="28.5">
      <c r="A256" s="63" t="s">
        <v>78</v>
      </c>
      <c r="B256" s="132"/>
      <c r="C256" s="65" t="s">
        <v>17</v>
      </c>
      <c r="D256" s="64" t="s">
        <v>74</v>
      </c>
      <c r="E256" s="64"/>
      <c r="F256" s="150">
        <f>F262+F257+F260</f>
        <v>1858.9</v>
      </c>
      <c r="G256" s="150">
        <f>G262+G257+G260</f>
        <v>1858.9</v>
      </c>
      <c r="H256" s="343">
        <f t="shared" si="13"/>
        <v>100</v>
      </c>
    </row>
    <row r="257" spans="1:8" s="19" customFormat="1" ht="25.5">
      <c r="A257" s="21" t="s">
        <v>279</v>
      </c>
      <c r="B257" s="132"/>
      <c r="C257" s="18" t="s">
        <v>17</v>
      </c>
      <c r="D257" s="1" t="s">
        <v>278</v>
      </c>
      <c r="E257" s="1"/>
      <c r="F257" s="154">
        <f>F258+F259</f>
        <v>1258.9</v>
      </c>
      <c r="G257" s="154">
        <f>G258+G259</f>
        <v>1258.9</v>
      </c>
      <c r="H257" s="343">
        <f t="shared" si="13"/>
        <v>100</v>
      </c>
    </row>
    <row r="258" spans="1:8" s="19" customFormat="1" ht="18" customHeight="1">
      <c r="A258" s="131" t="s">
        <v>306</v>
      </c>
      <c r="B258" s="132"/>
      <c r="C258" s="18" t="s">
        <v>17</v>
      </c>
      <c r="D258" s="1" t="s">
        <v>278</v>
      </c>
      <c r="E258" s="1" t="s">
        <v>310</v>
      </c>
      <c r="F258" s="154">
        <v>558.9</v>
      </c>
      <c r="G258" s="154">
        <f>429.26+129.64</f>
        <v>558.9</v>
      </c>
      <c r="H258" s="343">
        <f t="shared" si="13"/>
        <v>100</v>
      </c>
    </row>
    <row r="259" spans="1:8" s="19" customFormat="1" ht="25.5">
      <c r="A259" s="21" t="s">
        <v>352</v>
      </c>
      <c r="B259" s="132"/>
      <c r="C259" s="18" t="s">
        <v>17</v>
      </c>
      <c r="D259" s="1" t="s">
        <v>278</v>
      </c>
      <c r="E259" s="1" t="s">
        <v>313</v>
      </c>
      <c r="F259" s="154">
        <v>700</v>
      </c>
      <c r="G259" s="154">
        <v>700</v>
      </c>
      <c r="H259" s="343">
        <f t="shared" si="13"/>
        <v>100</v>
      </c>
    </row>
    <row r="260" spans="1:8" s="19" customFormat="1" ht="12.75" hidden="1">
      <c r="A260" s="21" t="s">
        <v>277</v>
      </c>
      <c r="B260" s="132"/>
      <c r="C260" s="18" t="s">
        <v>17</v>
      </c>
      <c r="D260" s="1" t="s">
        <v>276</v>
      </c>
      <c r="E260" s="1"/>
      <c r="F260" s="154">
        <f>F261</f>
        <v>0</v>
      </c>
      <c r="G260" s="154">
        <f>G261</f>
        <v>0</v>
      </c>
      <c r="H260" s="343" t="e">
        <f t="shared" si="13"/>
        <v>#DIV/0!</v>
      </c>
    </row>
    <row r="261" spans="1:8" s="19" customFormat="1" ht="25.5" hidden="1">
      <c r="A261" s="21" t="s">
        <v>38</v>
      </c>
      <c r="B261" s="132"/>
      <c r="C261" s="18" t="s">
        <v>17</v>
      </c>
      <c r="D261" s="1" t="s">
        <v>276</v>
      </c>
      <c r="E261" s="1" t="s">
        <v>61</v>
      </c>
      <c r="F261" s="154"/>
      <c r="G261" s="154"/>
      <c r="H261" s="343" t="e">
        <f t="shared" si="13"/>
        <v>#DIV/0!</v>
      </c>
    </row>
    <row r="262" spans="1:8" s="19" customFormat="1" ht="25.5">
      <c r="A262" s="21" t="s">
        <v>251</v>
      </c>
      <c r="B262" s="132"/>
      <c r="C262" s="18" t="s">
        <v>17</v>
      </c>
      <c r="D262" s="1" t="s">
        <v>250</v>
      </c>
      <c r="E262" s="1"/>
      <c r="F262" s="154">
        <f>F263</f>
        <v>600</v>
      </c>
      <c r="G262" s="154">
        <f>G263</f>
        <v>600</v>
      </c>
      <c r="H262" s="343">
        <f t="shared" si="13"/>
        <v>100</v>
      </c>
    </row>
    <row r="263" spans="1:8" s="19" customFormat="1" ht="25.5">
      <c r="A263" s="21" t="s">
        <v>352</v>
      </c>
      <c r="B263" s="132"/>
      <c r="C263" s="18" t="s">
        <v>17</v>
      </c>
      <c r="D263" s="1" t="s">
        <v>250</v>
      </c>
      <c r="E263" s="1" t="s">
        <v>313</v>
      </c>
      <c r="F263" s="154">
        <v>600</v>
      </c>
      <c r="G263" s="154">
        <v>600</v>
      </c>
      <c r="H263" s="343">
        <f t="shared" si="13"/>
        <v>100</v>
      </c>
    </row>
    <row r="264" spans="1:8" s="74" customFormat="1" ht="31.5" customHeight="1">
      <c r="A264" s="63" t="s">
        <v>223</v>
      </c>
      <c r="B264" s="132"/>
      <c r="C264" s="65" t="s">
        <v>17</v>
      </c>
      <c r="D264" s="64" t="s">
        <v>3</v>
      </c>
      <c r="E264" s="64"/>
      <c r="F264" s="150">
        <f>F265+F271+F274</f>
        <v>13370.380000000001</v>
      </c>
      <c r="G264" s="150">
        <f>G265+G271+G274</f>
        <v>13370.010000000002</v>
      </c>
      <c r="H264" s="343">
        <f t="shared" si="13"/>
        <v>99.9972326889737</v>
      </c>
    </row>
    <row r="265" spans="1:8" s="52" customFormat="1" ht="54" customHeight="1">
      <c r="A265" s="15" t="s">
        <v>137</v>
      </c>
      <c r="B265" s="44"/>
      <c r="C265" s="10" t="s">
        <v>17</v>
      </c>
      <c r="D265" s="11" t="s">
        <v>11</v>
      </c>
      <c r="E265" s="11"/>
      <c r="F265" s="149">
        <f>F266</f>
        <v>3845.28</v>
      </c>
      <c r="G265" s="149">
        <f>G266</f>
        <v>3845.06</v>
      </c>
      <c r="H265" s="343">
        <f t="shared" si="13"/>
        <v>99.99427870012066</v>
      </c>
    </row>
    <row r="266" spans="1:8" ht="63" customHeight="1">
      <c r="A266" s="21" t="s">
        <v>138</v>
      </c>
      <c r="B266" s="132"/>
      <c r="C266" s="18" t="s">
        <v>17</v>
      </c>
      <c r="D266" s="1" t="s">
        <v>21</v>
      </c>
      <c r="E266" s="1"/>
      <c r="F266" s="154">
        <f>F267+F268+F269+F270</f>
        <v>3845.28</v>
      </c>
      <c r="G266" s="154">
        <f>G267+G268+G269+G270</f>
        <v>3845.06</v>
      </c>
      <c r="H266" s="343">
        <f t="shared" si="13"/>
        <v>99.99427870012066</v>
      </c>
    </row>
    <row r="267" spans="1:8" ht="15.75" customHeight="1">
      <c r="A267" s="131" t="s">
        <v>306</v>
      </c>
      <c r="B267" s="131"/>
      <c r="C267" s="18" t="s">
        <v>17</v>
      </c>
      <c r="D267" s="1" t="s">
        <v>21</v>
      </c>
      <c r="E267" s="1" t="s">
        <v>310</v>
      </c>
      <c r="F267" s="154">
        <f>2189.5+659.61</f>
        <v>2849.11</v>
      </c>
      <c r="G267" s="154">
        <f>2189.49+659.61</f>
        <v>2849.1</v>
      </c>
      <c r="H267" s="343">
        <f t="shared" si="13"/>
        <v>99.99964901320061</v>
      </c>
    </row>
    <row r="268" spans="1:8" ht="25.5" hidden="1">
      <c r="A268" s="21" t="s">
        <v>59</v>
      </c>
      <c r="C268" s="18" t="s">
        <v>17</v>
      </c>
      <c r="D268" s="1" t="s">
        <v>21</v>
      </c>
      <c r="E268" s="1" t="s">
        <v>60</v>
      </c>
      <c r="F268" s="154">
        <v>0</v>
      </c>
      <c r="G268" s="154">
        <v>0</v>
      </c>
      <c r="H268" s="343" t="e">
        <f t="shared" si="13"/>
        <v>#DIV/0!</v>
      </c>
    </row>
    <row r="269" spans="1:8" ht="27" customHeight="1">
      <c r="A269" s="21" t="s">
        <v>303</v>
      </c>
      <c r="C269" s="18" t="s">
        <v>17</v>
      </c>
      <c r="D269" s="1" t="s">
        <v>21</v>
      </c>
      <c r="E269" s="28">
        <v>240</v>
      </c>
      <c r="F269" s="154">
        <f>19.63+23.1+195+271.4+443.9+43.14</f>
        <v>996.17</v>
      </c>
      <c r="G269" s="154">
        <f>19.63+23.02+194.97+271.37+443.84+43.13</f>
        <v>995.9599999999999</v>
      </c>
      <c r="H269" s="343">
        <f t="shared" si="13"/>
        <v>99.97891926076873</v>
      </c>
    </row>
    <row r="270" spans="1:8" s="9" customFormat="1" ht="18.75" customHeight="1" hidden="1">
      <c r="A270" s="3" t="s">
        <v>307</v>
      </c>
      <c r="B270" s="51"/>
      <c r="C270" s="18" t="s">
        <v>17</v>
      </c>
      <c r="D270" s="1" t="s">
        <v>21</v>
      </c>
      <c r="E270" s="1" t="s">
        <v>311</v>
      </c>
      <c r="F270" s="154">
        <v>0</v>
      </c>
      <c r="G270" s="154">
        <v>0</v>
      </c>
      <c r="H270" s="343" t="e">
        <f t="shared" si="13"/>
        <v>#DIV/0!</v>
      </c>
    </row>
    <row r="271" spans="1:8" s="16" customFormat="1" ht="38.25">
      <c r="A271" s="15" t="s">
        <v>140</v>
      </c>
      <c r="B271" s="51"/>
      <c r="C271" s="10" t="s">
        <v>17</v>
      </c>
      <c r="D271" s="11" t="s">
        <v>12</v>
      </c>
      <c r="E271" s="11"/>
      <c r="F271" s="149">
        <f>F272</f>
        <v>7093.100000000001</v>
      </c>
      <c r="G271" s="149">
        <f>G272</f>
        <v>7093.100000000001</v>
      </c>
      <c r="H271" s="343">
        <f t="shared" si="13"/>
        <v>100</v>
      </c>
    </row>
    <row r="272" spans="1:8" s="16" customFormat="1" ht="67.5" customHeight="1">
      <c r="A272" s="21" t="s">
        <v>139</v>
      </c>
      <c r="B272" s="51"/>
      <c r="C272" s="18" t="s">
        <v>17</v>
      </c>
      <c r="D272" s="1" t="s">
        <v>22</v>
      </c>
      <c r="E272" s="1"/>
      <c r="F272" s="154">
        <f>F273</f>
        <v>7093.100000000001</v>
      </c>
      <c r="G272" s="154">
        <f>G273</f>
        <v>7093.100000000001</v>
      </c>
      <c r="H272" s="343">
        <f t="shared" si="13"/>
        <v>100</v>
      </c>
    </row>
    <row r="273" spans="1:8" s="19" customFormat="1" ht="15" customHeight="1">
      <c r="A273" s="3" t="s">
        <v>312</v>
      </c>
      <c r="B273" s="51"/>
      <c r="C273" s="18" t="s">
        <v>17</v>
      </c>
      <c r="D273" s="1" t="s">
        <v>22</v>
      </c>
      <c r="E273" s="1" t="s">
        <v>313</v>
      </c>
      <c r="F273" s="154">
        <f>8217.2+106.7-260-19.8-9-1.2-4-57.6-90-13.5-8.2-80-24-40-600-23.5</f>
        <v>7093.100000000001</v>
      </c>
      <c r="G273" s="154">
        <f>8217.2+106.7-260-19.8-9-1.2-4-57.6-90-13.5-8.2-80-24-40-600-23.5</f>
        <v>7093.100000000001</v>
      </c>
      <c r="H273" s="343">
        <f t="shared" si="13"/>
        <v>100</v>
      </c>
    </row>
    <row r="274" spans="1:8" s="9" customFormat="1" ht="43.5" customHeight="1">
      <c r="A274" s="39" t="s">
        <v>141</v>
      </c>
      <c r="B274" s="51"/>
      <c r="C274" s="10" t="s">
        <v>17</v>
      </c>
      <c r="D274" s="43" t="s">
        <v>13</v>
      </c>
      <c r="E274" s="46"/>
      <c r="F274" s="158">
        <f>F275</f>
        <v>2432</v>
      </c>
      <c r="G274" s="158">
        <f>G275</f>
        <v>2431.85</v>
      </c>
      <c r="H274" s="343">
        <f t="shared" si="13"/>
        <v>99.99383223684211</v>
      </c>
    </row>
    <row r="275" spans="1:8" s="9" customFormat="1" ht="63.75">
      <c r="A275" s="44" t="s">
        <v>142</v>
      </c>
      <c r="B275" s="51"/>
      <c r="C275" s="18" t="s">
        <v>17</v>
      </c>
      <c r="D275" s="43" t="s">
        <v>155</v>
      </c>
      <c r="E275" s="46"/>
      <c r="F275" s="157">
        <f>F276+F277</f>
        <v>2432</v>
      </c>
      <c r="G275" s="157">
        <f>G276+G277</f>
        <v>2431.85</v>
      </c>
      <c r="H275" s="343">
        <f t="shared" si="13"/>
        <v>99.99383223684211</v>
      </c>
    </row>
    <row r="276" spans="1:8" s="16" customFormat="1" ht="27.75" customHeight="1">
      <c r="A276" s="21" t="s">
        <v>303</v>
      </c>
      <c r="B276" s="51"/>
      <c r="C276" s="18" t="s">
        <v>17</v>
      </c>
      <c r="D276" s="1" t="s">
        <v>155</v>
      </c>
      <c r="E276" s="28">
        <v>240</v>
      </c>
      <c r="F276" s="154">
        <v>1276</v>
      </c>
      <c r="G276" s="154">
        <f>681.79+248.3+311.96+33.8</f>
        <v>1275.85</v>
      </c>
      <c r="H276" s="343">
        <f t="shared" si="13"/>
        <v>99.98824451410657</v>
      </c>
    </row>
    <row r="277" spans="1:8" s="19" customFormat="1" ht="15" customHeight="1">
      <c r="A277" s="3" t="s">
        <v>312</v>
      </c>
      <c r="B277" s="51"/>
      <c r="C277" s="18" t="s">
        <v>17</v>
      </c>
      <c r="D277" s="1" t="s">
        <v>155</v>
      </c>
      <c r="E277" s="1" t="s">
        <v>313</v>
      </c>
      <c r="F277" s="154">
        <f>991.5+66+50+25+23.5</f>
        <v>1156</v>
      </c>
      <c r="G277" s="154">
        <v>1156</v>
      </c>
      <c r="H277" s="343">
        <f t="shared" si="13"/>
        <v>100</v>
      </c>
    </row>
    <row r="278" spans="1:8" s="85" customFormat="1" ht="28.5">
      <c r="A278" s="63" t="s">
        <v>84</v>
      </c>
      <c r="B278" s="51"/>
      <c r="C278" s="65" t="s">
        <v>85</v>
      </c>
      <c r="D278" s="64"/>
      <c r="E278" s="64"/>
      <c r="F278" s="150">
        <f>F279+F284</f>
        <v>8688.331</v>
      </c>
      <c r="G278" s="150">
        <f>G279+G284</f>
        <v>7285.42</v>
      </c>
      <c r="H278" s="343">
        <f t="shared" si="13"/>
        <v>83.85292871553811</v>
      </c>
    </row>
    <row r="279" spans="1:8" s="85" customFormat="1" ht="28.5">
      <c r="A279" s="63" t="s">
        <v>35</v>
      </c>
      <c r="B279" s="51"/>
      <c r="C279" s="65" t="s">
        <v>79</v>
      </c>
      <c r="D279" s="64"/>
      <c r="E279" s="64"/>
      <c r="F279" s="150">
        <f aca="true" t="shared" si="15" ref="F279:G282">F280</f>
        <v>766.206</v>
      </c>
      <c r="G279" s="150">
        <f t="shared" si="15"/>
        <v>766.206</v>
      </c>
      <c r="H279" s="343">
        <f t="shared" si="13"/>
        <v>100</v>
      </c>
    </row>
    <row r="280" spans="1:8" s="61" customFormat="1" ht="25.5">
      <c r="A280" s="13" t="s">
        <v>147</v>
      </c>
      <c r="B280" s="51"/>
      <c r="C280" s="10" t="s">
        <v>79</v>
      </c>
      <c r="D280" s="11" t="s">
        <v>5</v>
      </c>
      <c r="E280" s="11"/>
      <c r="F280" s="149">
        <f t="shared" si="15"/>
        <v>766.206</v>
      </c>
      <c r="G280" s="149">
        <f t="shared" si="15"/>
        <v>766.206</v>
      </c>
      <c r="H280" s="343">
        <f t="shared" si="13"/>
        <v>100</v>
      </c>
    </row>
    <row r="281" spans="1:8" s="61" customFormat="1" ht="39" customHeight="1">
      <c r="A281" s="15" t="s">
        <v>148</v>
      </c>
      <c r="B281" s="51"/>
      <c r="C281" s="10" t="s">
        <v>79</v>
      </c>
      <c r="D281" s="11" t="s">
        <v>15</v>
      </c>
      <c r="E281" s="11"/>
      <c r="F281" s="149">
        <f t="shared" si="15"/>
        <v>766.206</v>
      </c>
      <c r="G281" s="149">
        <f t="shared" si="15"/>
        <v>766.206</v>
      </c>
      <c r="H281" s="343">
        <f t="shared" si="13"/>
        <v>100</v>
      </c>
    </row>
    <row r="282" spans="1:8" s="19" customFormat="1" ht="63.75">
      <c r="A282" s="3" t="s">
        <v>149</v>
      </c>
      <c r="B282" s="51"/>
      <c r="C282" s="18" t="s">
        <v>79</v>
      </c>
      <c r="D282" s="1" t="s">
        <v>146</v>
      </c>
      <c r="E282" s="1"/>
      <c r="F282" s="154">
        <f t="shared" si="15"/>
        <v>766.206</v>
      </c>
      <c r="G282" s="154">
        <f t="shared" si="15"/>
        <v>766.206</v>
      </c>
      <c r="H282" s="343">
        <f t="shared" si="13"/>
        <v>100</v>
      </c>
    </row>
    <row r="283" spans="1:8" s="19" customFormat="1" ht="26.25" customHeight="1">
      <c r="A283" s="3" t="s">
        <v>314</v>
      </c>
      <c r="B283" s="51"/>
      <c r="C283" s="18" t="s">
        <v>79</v>
      </c>
      <c r="D283" s="1" t="s">
        <v>146</v>
      </c>
      <c r="E283" s="1" t="s">
        <v>315</v>
      </c>
      <c r="F283" s="154">
        <v>766.206</v>
      </c>
      <c r="G283" s="154">
        <v>766.206</v>
      </c>
      <c r="H283" s="343">
        <f t="shared" si="13"/>
        <v>100</v>
      </c>
    </row>
    <row r="284" spans="1:8" s="85" customFormat="1" ht="28.5">
      <c r="A284" s="63" t="s">
        <v>71</v>
      </c>
      <c r="B284" s="51"/>
      <c r="C284" s="65" t="s">
        <v>70</v>
      </c>
      <c r="D284" s="64"/>
      <c r="E284" s="64"/>
      <c r="F284" s="150">
        <f>F289+F285</f>
        <v>7922.125</v>
      </c>
      <c r="G284" s="150">
        <f>G289+G285</f>
        <v>6519.214</v>
      </c>
      <c r="H284" s="343">
        <f t="shared" si="13"/>
        <v>82.29122867917383</v>
      </c>
    </row>
    <row r="285" spans="1:8" ht="12.75" hidden="1">
      <c r="A285" s="13" t="s">
        <v>111</v>
      </c>
      <c r="C285" s="58" t="s">
        <v>70</v>
      </c>
      <c r="D285" s="32" t="s">
        <v>0</v>
      </c>
      <c r="E285" s="32"/>
      <c r="F285" s="152">
        <f aca="true" t="shared" si="16" ref="F285:G287">F286</f>
        <v>0</v>
      </c>
      <c r="G285" s="152">
        <f t="shared" si="16"/>
        <v>0</v>
      </c>
      <c r="H285" s="343" t="e">
        <f t="shared" si="13"/>
        <v>#DIV/0!</v>
      </c>
    </row>
    <row r="286" spans="1:8" ht="12.75" hidden="1">
      <c r="A286" s="15" t="s">
        <v>78</v>
      </c>
      <c r="C286" s="58" t="s">
        <v>70</v>
      </c>
      <c r="D286" s="11" t="s">
        <v>74</v>
      </c>
      <c r="E286" s="11"/>
      <c r="F286" s="149">
        <f t="shared" si="16"/>
        <v>0</v>
      </c>
      <c r="G286" s="149">
        <f t="shared" si="16"/>
        <v>0</v>
      </c>
      <c r="H286" s="343" t="e">
        <f t="shared" si="13"/>
        <v>#DIV/0!</v>
      </c>
    </row>
    <row r="287" spans="1:8" s="9" customFormat="1" ht="38.25" hidden="1">
      <c r="A287" s="38" t="s">
        <v>238</v>
      </c>
      <c r="B287" s="51"/>
      <c r="C287" s="58" t="s">
        <v>70</v>
      </c>
      <c r="D287" s="28" t="s">
        <v>237</v>
      </c>
      <c r="E287" s="28"/>
      <c r="F287" s="153">
        <f t="shared" si="16"/>
        <v>0</v>
      </c>
      <c r="G287" s="153">
        <f t="shared" si="16"/>
        <v>0</v>
      </c>
      <c r="H287" s="343" t="e">
        <f t="shared" si="13"/>
        <v>#DIV/0!</v>
      </c>
    </row>
    <row r="288" spans="1:8" s="9" customFormat="1" ht="38.25" hidden="1">
      <c r="A288" s="38" t="s">
        <v>239</v>
      </c>
      <c r="B288" s="51"/>
      <c r="C288" s="58" t="s">
        <v>70</v>
      </c>
      <c r="D288" s="28" t="s">
        <v>237</v>
      </c>
      <c r="E288" s="30">
        <v>314</v>
      </c>
      <c r="F288" s="153"/>
      <c r="G288" s="153"/>
      <c r="H288" s="343" t="e">
        <f t="shared" si="13"/>
        <v>#DIV/0!</v>
      </c>
    </row>
    <row r="289" spans="1:8" s="61" customFormat="1" ht="51" customHeight="1">
      <c r="A289" s="13" t="s">
        <v>143</v>
      </c>
      <c r="B289" s="51"/>
      <c r="C289" s="58" t="s">
        <v>70</v>
      </c>
      <c r="D289" s="11" t="s">
        <v>1</v>
      </c>
      <c r="E289" s="11"/>
      <c r="F289" s="149">
        <f>F290</f>
        <v>7922.125</v>
      </c>
      <c r="G289" s="149">
        <f>G290</f>
        <v>6519.214</v>
      </c>
      <c r="H289" s="343">
        <f t="shared" si="13"/>
        <v>82.29122867917383</v>
      </c>
    </row>
    <row r="290" spans="1:8" s="61" customFormat="1" ht="84" customHeight="1">
      <c r="A290" s="15" t="s">
        <v>145</v>
      </c>
      <c r="B290" s="51"/>
      <c r="C290" s="58" t="s">
        <v>70</v>
      </c>
      <c r="D290" s="11" t="s">
        <v>10</v>
      </c>
      <c r="E290" s="11"/>
      <c r="F290" s="149">
        <f>F291+F294+F297+F300</f>
        <v>7922.125</v>
      </c>
      <c r="G290" s="149">
        <f>G291+G294+G297+G300</f>
        <v>6519.214</v>
      </c>
      <c r="H290" s="343">
        <f t="shared" si="13"/>
        <v>82.29122867917383</v>
      </c>
    </row>
    <row r="291" spans="1:8" s="19" customFormat="1" ht="81" customHeight="1">
      <c r="A291" s="20" t="s">
        <v>244</v>
      </c>
      <c r="B291" s="51"/>
      <c r="C291" s="59" t="s">
        <v>70</v>
      </c>
      <c r="D291" s="1" t="s">
        <v>144</v>
      </c>
      <c r="E291" s="1"/>
      <c r="F291" s="154">
        <f>F292+F293</f>
        <v>600</v>
      </c>
      <c r="G291" s="154">
        <f>G292+G293</f>
        <v>485.22</v>
      </c>
      <c r="H291" s="343">
        <f t="shared" si="13"/>
        <v>80.87</v>
      </c>
    </row>
    <row r="292" spans="1:8" s="55" customFormat="1" ht="12.75" hidden="1">
      <c r="A292" s="21" t="s">
        <v>23</v>
      </c>
      <c r="B292" s="51"/>
      <c r="C292" s="59" t="s">
        <v>70</v>
      </c>
      <c r="D292" s="1" t="s">
        <v>144</v>
      </c>
      <c r="E292" s="1" t="s">
        <v>64</v>
      </c>
      <c r="F292" s="154"/>
      <c r="G292" s="154"/>
      <c r="H292" s="343" t="e">
        <f t="shared" si="13"/>
        <v>#DIV/0!</v>
      </c>
    </row>
    <row r="293" spans="1:8" s="55" customFormat="1" ht="16.5" customHeight="1">
      <c r="A293" s="3" t="s">
        <v>314</v>
      </c>
      <c r="B293" s="51"/>
      <c r="C293" s="59" t="s">
        <v>70</v>
      </c>
      <c r="D293" s="1" t="s">
        <v>144</v>
      </c>
      <c r="E293" s="1" t="s">
        <v>315</v>
      </c>
      <c r="F293" s="154">
        <f>1500-500-400</f>
        <v>600</v>
      </c>
      <c r="G293" s="154">
        <v>485.22</v>
      </c>
      <c r="H293" s="343">
        <f t="shared" si="13"/>
        <v>80.87</v>
      </c>
    </row>
    <row r="294" spans="1:8" s="19" customFormat="1" ht="25.5">
      <c r="A294" s="20" t="s">
        <v>272</v>
      </c>
      <c r="B294" s="51"/>
      <c r="C294" s="59" t="s">
        <v>70</v>
      </c>
      <c r="D294" s="1" t="s">
        <v>271</v>
      </c>
      <c r="E294" s="1"/>
      <c r="F294" s="154">
        <f>F295+F296</f>
        <v>896.5</v>
      </c>
      <c r="G294" s="154">
        <f>G295+G296</f>
        <v>681.5</v>
      </c>
      <c r="H294" s="343">
        <f t="shared" si="13"/>
        <v>76.01784718349136</v>
      </c>
    </row>
    <row r="295" spans="1:8" s="55" customFormat="1" ht="12.75" hidden="1">
      <c r="A295" s="21" t="s">
        <v>23</v>
      </c>
      <c r="B295" s="51"/>
      <c r="C295" s="59" t="s">
        <v>70</v>
      </c>
      <c r="D295" s="1" t="s">
        <v>144</v>
      </c>
      <c r="E295" s="1" t="s">
        <v>64</v>
      </c>
      <c r="F295" s="154"/>
      <c r="G295" s="154"/>
      <c r="H295" s="343" t="e">
        <f t="shared" si="13"/>
        <v>#DIV/0!</v>
      </c>
    </row>
    <row r="296" spans="1:8" s="55" customFormat="1" ht="28.5" customHeight="1">
      <c r="A296" s="3" t="s">
        <v>530</v>
      </c>
      <c r="B296" s="51"/>
      <c r="C296" s="59" t="s">
        <v>70</v>
      </c>
      <c r="D296" s="1" t="s">
        <v>271</v>
      </c>
      <c r="E296" s="1" t="s">
        <v>315</v>
      </c>
      <c r="F296" s="154">
        <f>251.5+645</f>
        <v>896.5</v>
      </c>
      <c r="G296" s="154">
        <v>681.5</v>
      </c>
      <c r="H296" s="343">
        <f t="shared" si="13"/>
        <v>76.01784718349136</v>
      </c>
    </row>
    <row r="297" spans="1:8" s="19" customFormat="1" ht="51">
      <c r="A297" s="20" t="s">
        <v>288</v>
      </c>
      <c r="B297" s="51"/>
      <c r="C297" s="59" t="s">
        <v>70</v>
      </c>
      <c r="D297" s="1" t="s">
        <v>273</v>
      </c>
      <c r="E297" s="1"/>
      <c r="F297" s="154">
        <f>F298+F299</f>
        <v>1835.964</v>
      </c>
      <c r="G297" s="154">
        <f>G298+G299</f>
        <v>1835.964</v>
      </c>
      <c r="H297" s="343">
        <f t="shared" si="13"/>
        <v>100</v>
      </c>
    </row>
    <row r="298" spans="1:8" s="55" customFormat="1" ht="12.75" hidden="1">
      <c r="A298" s="21" t="s">
        <v>23</v>
      </c>
      <c r="B298" s="51"/>
      <c r="C298" s="59" t="s">
        <v>70</v>
      </c>
      <c r="D298" s="1" t="s">
        <v>144</v>
      </c>
      <c r="E298" s="1" t="s">
        <v>64</v>
      </c>
      <c r="F298" s="154"/>
      <c r="G298" s="154"/>
      <c r="H298" s="343" t="e">
        <f t="shared" si="13"/>
        <v>#DIV/0!</v>
      </c>
    </row>
    <row r="299" spans="1:8" s="55" customFormat="1" ht="28.5" customHeight="1">
      <c r="A299" s="3" t="s">
        <v>530</v>
      </c>
      <c r="B299" s="51"/>
      <c r="C299" s="59" t="s">
        <v>70</v>
      </c>
      <c r="D299" s="1" t="s">
        <v>273</v>
      </c>
      <c r="E299" s="1" t="s">
        <v>315</v>
      </c>
      <c r="F299" s="154">
        <v>1835.964</v>
      </c>
      <c r="G299" s="154">
        <v>1835.964</v>
      </c>
      <c r="H299" s="343">
        <f t="shared" si="13"/>
        <v>100</v>
      </c>
    </row>
    <row r="300" spans="1:8" s="19" customFormat="1" ht="25.5">
      <c r="A300" s="20" t="s">
        <v>275</v>
      </c>
      <c r="B300" s="51"/>
      <c r="C300" s="59" t="s">
        <v>70</v>
      </c>
      <c r="D300" s="1" t="s">
        <v>274</v>
      </c>
      <c r="E300" s="1"/>
      <c r="F300" s="154">
        <f>F301+F302</f>
        <v>4589.661</v>
      </c>
      <c r="G300" s="154">
        <f>G301+G302</f>
        <v>3516.53</v>
      </c>
      <c r="H300" s="343">
        <f t="shared" si="13"/>
        <v>76.61851278340602</v>
      </c>
    </row>
    <row r="301" spans="1:8" s="55" customFormat="1" ht="12.75" hidden="1">
      <c r="A301" s="21" t="s">
        <v>23</v>
      </c>
      <c r="B301" s="51"/>
      <c r="C301" s="59" t="s">
        <v>70</v>
      </c>
      <c r="D301" s="1" t="s">
        <v>144</v>
      </c>
      <c r="E301" s="1" t="s">
        <v>64</v>
      </c>
      <c r="F301" s="154"/>
      <c r="G301" s="154"/>
      <c r="H301" s="343" t="e">
        <f t="shared" si="13"/>
        <v>#DIV/0!</v>
      </c>
    </row>
    <row r="302" spans="1:8" s="55" customFormat="1" ht="25.5">
      <c r="A302" s="21" t="s">
        <v>236</v>
      </c>
      <c r="B302" s="51"/>
      <c r="C302" s="59" t="s">
        <v>70</v>
      </c>
      <c r="D302" s="1" t="s">
        <v>274</v>
      </c>
      <c r="E302" s="1" t="s">
        <v>315</v>
      </c>
      <c r="F302" s="154">
        <f>797.776+3791.885</f>
        <v>4589.661</v>
      </c>
      <c r="G302" s="154">
        <v>3516.53</v>
      </c>
      <c r="H302" s="343">
        <f t="shared" si="13"/>
        <v>76.61851278340602</v>
      </c>
    </row>
    <row r="303" spans="1:8" s="76" customFormat="1" ht="15" hidden="1">
      <c r="A303" s="63" t="s">
        <v>96</v>
      </c>
      <c r="B303" s="51"/>
      <c r="C303" s="65" t="s">
        <v>93</v>
      </c>
      <c r="D303" s="64"/>
      <c r="E303" s="64"/>
      <c r="F303" s="150">
        <f>F304</f>
        <v>0</v>
      </c>
      <c r="G303" s="150">
        <f>G304</f>
        <v>0</v>
      </c>
      <c r="H303" s="343" t="e">
        <f aca="true" t="shared" si="17" ref="H303:H325">G303/F303*100</f>
        <v>#DIV/0!</v>
      </c>
    </row>
    <row r="304" spans="1:8" s="76" customFormat="1" ht="15" hidden="1">
      <c r="A304" s="63" t="s">
        <v>20</v>
      </c>
      <c r="B304" s="51"/>
      <c r="C304" s="65" t="s">
        <v>19</v>
      </c>
      <c r="D304" s="64"/>
      <c r="E304" s="64"/>
      <c r="F304" s="150">
        <f>F305+F309</f>
        <v>0</v>
      </c>
      <c r="G304" s="150">
        <f>G305+G309</f>
        <v>0</v>
      </c>
      <c r="H304" s="343" t="e">
        <f t="shared" si="17"/>
        <v>#DIV/0!</v>
      </c>
    </row>
    <row r="305" spans="1:8" s="56" customFormat="1" ht="25.5" hidden="1">
      <c r="A305" s="13" t="s">
        <v>150</v>
      </c>
      <c r="B305" s="51"/>
      <c r="C305" s="10" t="s">
        <v>19</v>
      </c>
      <c r="D305" s="11" t="s">
        <v>4</v>
      </c>
      <c r="E305" s="11"/>
      <c r="F305" s="149">
        <f aca="true" t="shared" si="18" ref="F305:G307">F306</f>
        <v>0</v>
      </c>
      <c r="G305" s="149">
        <f t="shared" si="18"/>
        <v>0</v>
      </c>
      <c r="H305" s="343" t="e">
        <f t="shared" si="17"/>
        <v>#DIV/0!</v>
      </c>
    </row>
    <row r="306" spans="1:8" s="56" customFormat="1" ht="38.25" hidden="1">
      <c r="A306" s="15" t="s">
        <v>151</v>
      </c>
      <c r="B306" s="51"/>
      <c r="C306" s="10" t="s">
        <v>19</v>
      </c>
      <c r="D306" s="11" t="s">
        <v>14</v>
      </c>
      <c r="E306" s="11"/>
      <c r="F306" s="149">
        <f t="shared" si="18"/>
        <v>0</v>
      </c>
      <c r="G306" s="149">
        <f t="shared" si="18"/>
        <v>0</v>
      </c>
      <c r="H306" s="343" t="e">
        <f t="shared" si="17"/>
        <v>#DIV/0!</v>
      </c>
    </row>
    <row r="307" spans="1:8" s="19" customFormat="1" ht="51" hidden="1">
      <c r="A307" s="21" t="s">
        <v>300</v>
      </c>
      <c r="B307" s="51"/>
      <c r="C307" s="18" t="s">
        <v>19</v>
      </c>
      <c r="D307" s="1" t="s">
        <v>224</v>
      </c>
      <c r="E307" s="1"/>
      <c r="F307" s="154">
        <f t="shared" si="18"/>
        <v>0</v>
      </c>
      <c r="G307" s="154">
        <f t="shared" si="18"/>
        <v>0</v>
      </c>
      <c r="H307" s="343" t="e">
        <f t="shared" si="17"/>
        <v>#DIV/0!</v>
      </c>
    </row>
    <row r="308" spans="1:8" s="19" customFormat="1" ht="25.5" hidden="1">
      <c r="A308" s="21" t="s">
        <v>302</v>
      </c>
      <c r="B308" s="51"/>
      <c r="C308" s="18" t="s">
        <v>19</v>
      </c>
      <c r="D308" s="1" t="s">
        <v>224</v>
      </c>
      <c r="E308" s="28">
        <v>240</v>
      </c>
      <c r="F308" s="154">
        <f>2200-600-100-299-1201</f>
        <v>0</v>
      </c>
      <c r="G308" s="154">
        <f>2200-600-100-299-1201</f>
        <v>0</v>
      </c>
      <c r="H308" s="343" t="e">
        <f t="shared" si="17"/>
        <v>#DIV/0!</v>
      </c>
    </row>
    <row r="309" spans="1:8" s="19" customFormat="1" ht="12.75" hidden="1">
      <c r="A309" s="13" t="s">
        <v>111</v>
      </c>
      <c r="B309" s="51"/>
      <c r="C309" s="58" t="s">
        <v>19</v>
      </c>
      <c r="D309" s="32" t="s">
        <v>0</v>
      </c>
      <c r="E309" s="11"/>
      <c r="F309" s="149">
        <f>F310</f>
        <v>0</v>
      </c>
      <c r="G309" s="149">
        <f>G310</f>
        <v>0</v>
      </c>
      <c r="H309" s="343" t="e">
        <f t="shared" si="17"/>
        <v>#DIV/0!</v>
      </c>
    </row>
    <row r="310" spans="1:8" s="19" customFormat="1" ht="12.75" hidden="1">
      <c r="A310" s="15" t="s">
        <v>78</v>
      </c>
      <c r="B310" s="51"/>
      <c r="C310" s="58" t="s">
        <v>19</v>
      </c>
      <c r="D310" s="11" t="s">
        <v>74</v>
      </c>
      <c r="E310" s="1"/>
      <c r="F310" s="154">
        <f>F311+F313+F315</f>
        <v>0</v>
      </c>
      <c r="G310" s="154">
        <f>G311+G313+G315</f>
        <v>0</v>
      </c>
      <c r="H310" s="343" t="e">
        <f t="shared" si="17"/>
        <v>#DIV/0!</v>
      </c>
    </row>
    <row r="311" spans="1:8" s="19" customFormat="1" ht="12.75" hidden="1">
      <c r="A311" s="21" t="s">
        <v>258</v>
      </c>
      <c r="B311" s="51"/>
      <c r="C311" s="59" t="s">
        <v>19</v>
      </c>
      <c r="D311" s="1" t="s">
        <v>257</v>
      </c>
      <c r="E311" s="1"/>
      <c r="F311" s="154">
        <f>F312</f>
        <v>0</v>
      </c>
      <c r="G311" s="154">
        <f>G312</f>
        <v>0</v>
      </c>
      <c r="H311" s="343" t="e">
        <f t="shared" si="17"/>
        <v>#DIV/0!</v>
      </c>
    </row>
    <row r="312" spans="1:8" s="19" customFormat="1" ht="25.5" hidden="1">
      <c r="A312" s="21" t="s">
        <v>38</v>
      </c>
      <c r="B312" s="51"/>
      <c r="C312" s="59" t="s">
        <v>19</v>
      </c>
      <c r="D312" s="1" t="s">
        <v>257</v>
      </c>
      <c r="E312" s="1" t="s">
        <v>61</v>
      </c>
      <c r="F312" s="154"/>
      <c r="G312" s="154"/>
      <c r="H312" s="343" t="e">
        <f t="shared" si="17"/>
        <v>#DIV/0!</v>
      </c>
    </row>
    <row r="313" spans="1:8" s="19" customFormat="1" ht="12.75" hidden="1">
      <c r="A313" s="21" t="s">
        <v>268</v>
      </c>
      <c r="B313" s="51"/>
      <c r="C313" s="59" t="s">
        <v>19</v>
      </c>
      <c r="D313" s="1" t="s">
        <v>261</v>
      </c>
      <c r="E313" s="1"/>
      <c r="F313" s="154">
        <f>F314</f>
        <v>0</v>
      </c>
      <c r="G313" s="154">
        <f>G314</f>
        <v>0</v>
      </c>
      <c r="H313" s="343" t="e">
        <f t="shared" si="17"/>
        <v>#DIV/0!</v>
      </c>
    </row>
    <row r="314" spans="1:8" s="19" customFormat="1" ht="25.5" hidden="1">
      <c r="A314" s="21" t="s">
        <v>38</v>
      </c>
      <c r="B314" s="51"/>
      <c r="C314" s="59" t="s">
        <v>19</v>
      </c>
      <c r="D314" s="1" t="s">
        <v>261</v>
      </c>
      <c r="E314" s="1" t="s">
        <v>61</v>
      </c>
      <c r="F314" s="154"/>
      <c r="G314" s="154"/>
      <c r="H314" s="343" t="e">
        <f t="shared" si="17"/>
        <v>#DIV/0!</v>
      </c>
    </row>
    <row r="315" spans="1:8" s="19" customFormat="1" ht="38.25" hidden="1">
      <c r="A315" s="21" t="s">
        <v>294</v>
      </c>
      <c r="B315" s="51"/>
      <c r="C315" s="59" t="s">
        <v>19</v>
      </c>
      <c r="D315" s="1" t="s">
        <v>282</v>
      </c>
      <c r="E315" s="1"/>
      <c r="F315" s="154">
        <f>F316</f>
        <v>0</v>
      </c>
      <c r="G315" s="154">
        <f>G316</f>
        <v>0</v>
      </c>
      <c r="H315" s="343" t="e">
        <f t="shared" si="17"/>
        <v>#DIV/0!</v>
      </c>
    </row>
    <row r="316" spans="1:8" s="19" customFormat="1" ht="25.5" hidden="1">
      <c r="A316" s="21" t="s">
        <v>38</v>
      </c>
      <c r="B316" s="51"/>
      <c r="C316" s="59" t="s">
        <v>19</v>
      </c>
      <c r="D316" s="1" t="s">
        <v>282</v>
      </c>
      <c r="E316" s="1" t="s">
        <v>61</v>
      </c>
      <c r="F316" s="154"/>
      <c r="G316" s="154"/>
      <c r="H316" s="343" t="e">
        <f t="shared" si="17"/>
        <v>#DIV/0!</v>
      </c>
    </row>
    <row r="317" spans="1:8" s="19" customFormat="1" ht="14.25">
      <c r="A317" s="63" t="s">
        <v>97</v>
      </c>
      <c r="B317" s="51"/>
      <c r="C317" s="58" t="s">
        <v>94</v>
      </c>
      <c r="D317" s="91"/>
      <c r="E317" s="1"/>
      <c r="F317" s="150">
        <f aca="true" t="shared" si="19" ref="F317:G320">F318</f>
        <v>600</v>
      </c>
      <c r="G317" s="150">
        <f t="shared" si="19"/>
        <v>600</v>
      </c>
      <c r="H317" s="343">
        <f t="shared" si="17"/>
        <v>100</v>
      </c>
    </row>
    <row r="318" spans="1:8" s="19" customFormat="1" ht="14.25">
      <c r="A318" s="63" t="s">
        <v>73</v>
      </c>
      <c r="B318" s="51"/>
      <c r="C318" s="58" t="s">
        <v>72</v>
      </c>
      <c r="D318" s="91"/>
      <c r="E318" s="1"/>
      <c r="F318" s="150">
        <f t="shared" si="19"/>
        <v>600</v>
      </c>
      <c r="G318" s="150">
        <f t="shared" si="19"/>
        <v>600</v>
      </c>
      <c r="H318" s="343">
        <f t="shared" si="17"/>
        <v>100</v>
      </c>
    </row>
    <row r="319" spans="1:8" ht="25.5">
      <c r="A319" s="13" t="s">
        <v>111</v>
      </c>
      <c r="C319" s="58" t="s">
        <v>72</v>
      </c>
      <c r="D319" s="43" t="s">
        <v>0</v>
      </c>
      <c r="E319" s="46"/>
      <c r="F319" s="158">
        <f t="shared" si="19"/>
        <v>600</v>
      </c>
      <c r="G319" s="158">
        <f t="shared" si="19"/>
        <v>600</v>
      </c>
      <c r="H319" s="343">
        <f t="shared" si="17"/>
        <v>100</v>
      </c>
    </row>
    <row r="320" spans="1:8" ht="12.75">
      <c r="A320" s="15" t="s">
        <v>78</v>
      </c>
      <c r="C320" s="58" t="s">
        <v>72</v>
      </c>
      <c r="D320" s="43" t="s">
        <v>74</v>
      </c>
      <c r="E320" s="46"/>
      <c r="F320" s="158">
        <f t="shared" si="19"/>
        <v>600</v>
      </c>
      <c r="G320" s="158">
        <f t="shared" si="19"/>
        <v>600</v>
      </c>
      <c r="H320" s="343">
        <f t="shared" si="17"/>
        <v>100</v>
      </c>
    </row>
    <row r="321" spans="1:8" ht="51">
      <c r="A321" s="44" t="s">
        <v>351</v>
      </c>
      <c r="C321" s="59" t="s">
        <v>72</v>
      </c>
      <c r="D321" s="35" t="s">
        <v>156</v>
      </c>
      <c r="E321" s="46"/>
      <c r="F321" s="157">
        <f>F322+F324</f>
        <v>600</v>
      </c>
      <c r="G321" s="157">
        <f>G322+G324</f>
        <v>600</v>
      </c>
      <c r="H321" s="343">
        <f t="shared" si="17"/>
        <v>100</v>
      </c>
    </row>
    <row r="322" spans="1:8" ht="32.25" customHeight="1">
      <c r="A322" s="21" t="s">
        <v>320</v>
      </c>
      <c r="C322" s="59" t="s">
        <v>72</v>
      </c>
      <c r="D322" s="35" t="s">
        <v>156</v>
      </c>
      <c r="E322" s="28">
        <v>810</v>
      </c>
      <c r="F322" s="157">
        <f>300+300-182</f>
        <v>418</v>
      </c>
      <c r="G322" s="157">
        <f>300+300-182</f>
        <v>418</v>
      </c>
      <c r="H322" s="343">
        <f t="shared" si="17"/>
        <v>100</v>
      </c>
    </row>
    <row r="323" spans="1:8" ht="51">
      <c r="A323" s="44" t="s">
        <v>351</v>
      </c>
      <c r="C323" s="59" t="s">
        <v>72</v>
      </c>
      <c r="D323" s="35" t="s">
        <v>338</v>
      </c>
      <c r="E323" s="46"/>
      <c r="F323" s="157">
        <f>F324</f>
        <v>182</v>
      </c>
      <c r="G323" s="157">
        <f>G324</f>
        <v>182</v>
      </c>
      <c r="H323" s="343">
        <f t="shared" si="17"/>
        <v>100</v>
      </c>
    </row>
    <row r="324" spans="1:8" ht="30.75" customHeight="1">
      <c r="A324" s="21" t="s">
        <v>303</v>
      </c>
      <c r="C324" s="59" t="s">
        <v>72</v>
      </c>
      <c r="D324" s="35" t="s">
        <v>338</v>
      </c>
      <c r="E324" s="28">
        <v>240</v>
      </c>
      <c r="F324" s="157">
        <v>182</v>
      </c>
      <c r="G324" s="157">
        <v>182</v>
      </c>
      <c r="H324" s="343">
        <f t="shared" si="17"/>
        <v>100</v>
      </c>
    </row>
    <row r="325" spans="1:8" ht="12.75">
      <c r="A325" s="429" t="s">
        <v>16</v>
      </c>
      <c r="B325" s="430"/>
      <c r="C325" s="430"/>
      <c r="D325" s="430"/>
      <c r="E325" s="431"/>
      <c r="F325" s="152">
        <f>F12+F81+F89+F105+F142+F254+F278+F303+F319</f>
        <v>133606.59294</v>
      </c>
      <c r="G325" s="152">
        <f>G12+G81+G89+G105+G142+G254+G278+G303+G319</f>
        <v>126338.87451000001</v>
      </c>
      <c r="H325" s="343">
        <f t="shared" si="17"/>
        <v>94.56035943281348</v>
      </c>
    </row>
    <row r="326" spans="4:8" ht="12.75">
      <c r="D326" s="308"/>
      <c r="E326" s="308"/>
      <c r="F326" s="160"/>
      <c r="G326" s="160"/>
      <c r="H326" s="344"/>
    </row>
    <row r="327" spans="5:8" ht="12.75">
      <c r="E327" s="136"/>
      <c r="F327" s="295"/>
      <c r="G327" s="295"/>
      <c r="H327" s="345"/>
    </row>
    <row r="328" spans="5:8" ht="12.75">
      <c r="E328" s="136"/>
      <c r="F328" s="255"/>
      <c r="G328" s="255"/>
      <c r="H328" s="346"/>
    </row>
    <row r="329" spans="5:8" ht="12.75">
      <c r="E329" s="136"/>
      <c r="F329" s="160"/>
      <c r="G329" s="160"/>
      <c r="H329" s="344"/>
    </row>
    <row r="330" spans="5:8" ht="12.75">
      <c r="E330" s="136"/>
      <c r="F330" s="160"/>
      <c r="G330" s="160"/>
      <c r="H330" s="344"/>
    </row>
    <row r="331" spans="5:8" ht="12.75">
      <c r="E331" s="136"/>
      <c r="F331" s="160"/>
      <c r="G331" s="160"/>
      <c r="H331" s="344"/>
    </row>
    <row r="332" spans="5:8" ht="12.75">
      <c r="E332" s="136"/>
      <c r="F332" s="160"/>
      <c r="G332" s="160"/>
      <c r="H332" s="344"/>
    </row>
    <row r="333" spans="5:8" ht="12.75">
      <c r="E333" s="136"/>
      <c r="F333" s="160"/>
      <c r="G333" s="160"/>
      <c r="H333" s="344"/>
    </row>
    <row r="334" spans="5:8" ht="12.75">
      <c r="E334" s="136"/>
      <c r="F334" s="160"/>
      <c r="G334" s="160"/>
      <c r="H334" s="344"/>
    </row>
    <row r="335" spans="5:8" ht="12.75">
      <c r="E335" s="136"/>
      <c r="F335" s="160"/>
      <c r="G335" s="160"/>
      <c r="H335" s="344"/>
    </row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</sheetData>
  <sheetProtection/>
  <autoFilter ref="A10:F325"/>
  <mergeCells count="2">
    <mergeCell ref="A7:H7"/>
    <mergeCell ref="A325:E325"/>
  </mergeCells>
  <printOptions/>
  <pageMargins left="0.5118110236220472" right="0" top="0" bottom="0" header="0" footer="0"/>
  <pageSetup fitToHeight="0"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Glazacheva</dc:creator>
  <cp:keywords/>
  <dc:description/>
  <cp:lastModifiedBy>Дьякова</cp:lastModifiedBy>
  <cp:lastPrinted>2016-04-26T11:42:39Z</cp:lastPrinted>
  <dcterms:created xsi:type="dcterms:W3CDTF">2013-10-22T11:59:53Z</dcterms:created>
  <dcterms:modified xsi:type="dcterms:W3CDTF">2016-04-29T13:52:15Z</dcterms:modified>
  <cp:category/>
  <cp:version/>
  <cp:contentType/>
  <cp:contentStatus/>
</cp:coreProperties>
</file>